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COMPARTIDO CALIDAD\ESTADÍSTICA 2020\ARCHIVOS OFICIALES 2020\REPORTES EXTERNO 2020\RES. 256 2020\"/>
    </mc:Choice>
  </mc:AlternateContent>
  <xr:revisionPtr revIDLastSave="0" documentId="13_ncr:1_{D23ADB13-A5FE-43ED-B515-84692882B273}" xr6:coauthVersionLast="45" xr6:coauthVersionMax="45" xr10:uidLastSave="{00000000-0000-0000-0000-000000000000}"/>
  <bookViews>
    <workbookView xWindow="-120" yWindow="-120" windowWidth="20730" windowHeight="11160" activeTab="2" xr2:uid="{00000000-000D-0000-FFFF-FFFF00000000}"/>
  </bookViews>
  <sheets>
    <sheet name="LOGO" sheetId="2" r:id="rId1"/>
    <sheet name="2017" sheetId="3" r:id="rId2"/>
    <sheet name="2017res" sheetId="9" r:id="rId3"/>
    <sheet name="2018" sheetId="10" r:id="rId4"/>
    <sheet name="2018-2019" sheetId="8" r:id="rId5"/>
    <sheet name="2020" sheetId="12" r:id="rId6"/>
    <sheet name="reporte" sheetId="13"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0" i="12" l="1"/>
  <c r="R78" i="12"/>
  <c r="Q72" i="12"/>
  <c r="R72" i="12" s="1"/>
  <c r="R68" i="12"/>
  <c r="R66" i="12"/>
  <c r="R64" i="12"/>
  <c r="R62" i="12"/>
  <c r="R60" i="12"/>
  <c r="R58" i="12"/>
  <c r="R54" i="12"/>
  <c r="R52" i="12"/>
  <c r="R50" i="12"/>
  <c r="R48" i="12"/>
  <c r="R46" i="12"/>
  <c r="R44" i="12"/>
  <c r="R40" i="12"/>
  <c r="R38" i="12"/>
  <c r="R36" i="12"/>
  <c r="R34" i="12"/>
  <c r="R32" i="12"/>
  <c r="R30" i="12"/>
  <c r="R28" i="12"/>
  <c r="R26" i="12"/>
  <c r="R24" i="12"/>
  <c r="R20" i="12"/>
  <c r="R16" i="12"/>
  <c r="R8" i="12"/>
  <c r="R4" i="12"/>
  <c r="R2" i="12"/>
  <c r="D84" i="13" l="1"/>
  <c r="D82" i="13"/>
  <c r="C76" i="13"/>
  <c r="D76" i="13" s="1"/>
  <c r="D72" i="13"/>
  <c r="D70" i="13"/>
  <c r="D68" i="13"/>
  <c r="D66" i="13"/>
  <c r="D64" i="13"/>
  <c r="D62" i="13"/>
  <c r="D58" i="13"/>
  <c r="D56" i="13"/>
  <c r="D54" i="13"/>
  <c r="D52" i="13"/>
  <c r="D50" i="13"/>
  <c r="D48" i="13"/>
  <c r="D44" i="13"/>
  <c r="D42" i="13"/>
  <c r="D40" i="13"/>
  <c r="D38" i="13"/>
  <c r="D36" i="13"/>
  <c r="D34" i="13"/>
  <c r="D32" i="13"/>
  <c r="D30" i="13"/>
  <c r="D28" i="13"/>
  <c r="D24" i="13"/>
  <c r="D20" i="13"/>
  <c r="D12" i="13"/>
  <c r="D8" i="13"/>
  <c r="D6" i="13"/>
  <c r="P6" i="12" l="1"/>
  <c r="O72" i="12" l="1"/>
  <c r="P80" i="12" l="1"/>
  <c r="P78" i="12"/>
  <c r="P72" i="12"/>
  <c r="P68" i="12"/>
  <c r="P66" i="12"/>
  <c r="P64" i="12"/>
  <c r="P62" i="12"/>
  <c r="P60" i="12"/>
  <c r="P58" i="12"/>
  <c r="P54" i="12"/>
  <c r="P52" i="12"/>
  <c r="P50" i="12"/>
  <c r="P48" i="12"/>
  <c r="P46" i="12"/>
  <c r="P44" i="12"/>
  <c r="P40" i="12"/>
  <c r="P38" i="12"/>
  <c r="P36" i="12"/>
  <c r="P34" i="12"/>
  <c r="P32" i="12"/>
  <c r="P30" i="12"/>
  <c r="P28" i="12"/>
  <c r="P26" i="12"/>
  <c r="P24" i="12"/>
  <c r="P20" i="12"/>
  <c r="P16" i="12"/>
  <c r="P8" i="12"/>
  <c r="P4" i="12"/>
  <c r="P2" i="12"/>
  <c r="M72" i="12" l="1"/>
  <c r="C2" i="12" l="1"/>
  <c r="F2" i="12"/>
  <c r="H2" i="12"/>
  <c r="J2" i="12"/>
  <c r="L2" i="12"/>
  <c r="C3" i="12"/>
  <c r="C35" i="12" s="1"/>
  <c r="D34" i="12" s="1"/>
  <c r="C4" i="12"/>
  <c r="F4" i="12"/>
  <c r="H4" i="12"/>
  <c r="L4" i="12"/>
  <c r="C5" i="12"/>
  <c r="I5" i="12"/>
  <c r="J4" i="12" s="1"/>
  <c r="C6" i="12"/>
  <c r="J6" i="12"/>
  <c r="C7" i="12"/>
  <c r="C8" i="12"/>
  <c r="D8" i="12" s="1"/>
  <c r="F8" i="12"/>
  <c r="H8" i="12"/>
  <c r="J8" i="12"/>
  <c r="L8" i="12"/>
  <c r="C9" i="12"/>
  <c r="C10" i="12"/>
  <c r="D10" i="12" s="1"/>
  <c r="F10" i="12"/>
  <c r="H10" i="12"/>
  <c r="J10" i="12"/>
  <c r="L10" i="12"/>
  <c r="C12" i="12"/>
  <c r="D12" i="12" s="1"/>
  <c r="F12" i="12"/>
  <c r="H12" i="12"/>
  <c r="J12" i="12"/>
  <c r="L12" i="12"/>
  <c r="C14" i="12"/>
  <c r="F14" i="12"/>
  <c r="H14" i="12"/>
  <c r="J14" i="12"/>
  <c r="L14" i="12"/>
  <c r="C15" i="12"/>
  <c r="D16" i="12"/>
  <c r="F16" i="12"/>
  <c r="H16" i="12"/>
  <c r="J16" i="12"/>
  <c r="L16" i="12"/>
  <c r="C18" i="12"/>
  <c r="C19" i="12"/>
  <c r="C20" i="12"/>
  <c r="F20" i="12"/>
  <c r="H20" i="12"/>
  <c r="J20" i="12"/>
  <c r="L20" i="12"/>
  <c r="C21" i="12"/>
  <c r="C22" i="12"/>
  <c r="C23" i="12"/>
  <c r="C24" i="12"/>
  <c r="F24" i="12"/>
  <c r="H24" i="12"/>
  <c r="J24" i="12"/>
  <c r="L24" i="12"/>
  <c r="C25" i="12"/>
  <c r="C26" i="12"/>
  <c r="F26" i="12"/>
  <c r="H26" i="12"/>
  <c r="J26" i="12"/>
  <c r="L26" i="12"/>
  <c r="C27" i="12"/>
  <c r="F28" i="12"/>
  <c r="H28" i="12"/>
  <c r="J28" i="12"/>
  <c r="L28" i="12"/>
  <c r="C29" i="12"/>
  <c r="D28" i="12" s="1"/>
  <c r="F30" i="12"/>
  <c r="H30" i="12"/>
  <c r="J30" i="12"/>
  <c r="L30" i="12"/>
  <c r="C31" i="12"/>
  <c r="D30" i="12" s="1"/>
  <c r="F32" i="12"/>
  <c r="H32" i="12"/>
  <c r="J32" i="12"/>
  <c r="L32" i="12"/>
  <c r="C33" i="12"/>
  <c r="D32" i="12" s="1"/>
  <c r="J34" i="12"/>
  <c r="L34" i="12"/>
  <c r="E35" i="12"/>
  <c r="F34" i="12" s="1"/>
  <c r="G35" i="12"/>
  <c r="H34" i="12" s="1"/>
  <c r="J36" i="12"/>
  <c r="L36" i="12"/>
  <c r="E37" i="12"/>
  <c r="F36" i="12" s="1"/>
  <c r="G37" i="12"/>
  <c r="H36" i="12" s="1"/>
  <c r="D38" i="12"/>
  <c r="F38" i="12"/>
  <c r="H38" i="12"/>
  <c r="J38" i="12"/>
  <c r="L38" i="12"/>
  <c r="F40" i="12"/>
  <c r="H40" i="12"/>
  <c r="J40" i="12"/>
  <c r="L40" i="12"/>
  <c r="C41" i="12"/>
  <c r="D40" i="12" s="1"/>
  <c r="E42" i="12"/>
  <c r="F42" i="12" s="1"/>
  <c r="H42" i="12"/>
  <c r="C43" i="12"/>
  <c r="D42" i="12" s="1"/>
  <c r="E43" i="12"/>
  <c r="D44" i="12"/>
  <c r="F44" i="12"/>
  <c r="H44" i="12"/>
  <c r="J44" i="12"/>
  <c r="L44" i="12"/>
  <c r="F46" i="12"/>
  <c r="H46" i="12"/>
  <c r="J46" i="12"/>
  <c r="L46" i="12"/>
  <c r="C47" i="12"/>
  <c r="D46" i="12" s="1"/>
  <c r="J48" i="12"/>
  <c r="L48" i="12"/>
  <c r="C49" i="12"/>
  <c r="D48" i="12" s="1"/>
  <c r="E49" i="12"/>
  <c r="F48" i="12" s="1"/>
  <c r="G49" i="12"/>
  <c r="H48" i="12" s="1"/>
  <c r="J50" i="12"/>
  <c r="L50" i="12"/>
  <c r="C51" i="12"/>
  <c r="D50" i="12" s="1"/>
  <c r="E51" i="12"/>
  <c r="F50" i="12" s="1"/>
  <c r="G51" i="12"/>
  <c r="H50" i="12" s="1"/>
  <c r="C52" i="12"/>
  <c r="J52" i="12"/>
  <c r="L52" i="12"/>
  <c r="C53" i="12"/>
  <c r="G53" i="12"/>
  <c r="H52" i="12" s="1"/>
  <c r="C54" i="12"/>
  <c r="F54" i="12"/>
  <c r="H54" i="12"/>
  <c r="J54" i="12"/>
  <c r="L54" i="12"/>
  <c r="C55" i="12"/>
  <c r="C56" i="12"/>
  <c r="F56" i="12"/>
  <c r="J56" i="12"/>
  <c r="L56" i="12"/>
  <c r="C57" i="12"/>
  <c r="D56" i="12" s="1"/>
  <c r="G57" i="12"/>
  <c r="H56" i="12" s="1"/>
  <c r="C58" i="12"/>
  <c r="E58" i="12"/>
  <c r="H58" i="12"/>
  <c r="J58" i="12"/>
  <c r="L58" i="12"/>
  <c r="C59" i="12"/>
  <c r="E59" i="12"/>
  <c r="C60" i="12"/>
  <c r="E60" i="12"/>
  <c r="H60" i="12"/>
  <c r="J60" i="12"/>
  <c r="C61" i="12"/>
  <c r="E61" i="12"/>
  <c r="C62" i="12"/>
  <c r="E62" i="12"/>
  <c r="H62" i="12"/>
  <c r="J62" i="12"/>
  <c r="L62" i="12"/>
  <c r="C63" i="12"/>
  <c r="E63" i="12"/>
  <c r="E65" i="12" s="1"/>
  <c r="C64" i="12"/>
  <c r="H64" i="12"/>
  <c r="J64" i="12"/>
  <c r="L64" i="12"/>
  <c r="C65" i="12"/>
  <c r="C66" i="12"/>
  <c r="E66" i="12"/>
  <c r="H66" i="12"/>
  <c r="L66" i="12"/>
  <c r="C67" i="12"/>
  <c r="E67" i="12"/>
  <c r="D68" i="12"/>
  <c r="F68" i="12"/>
  <c r="H68" i="12"/>
  <c r="J68" i="12"/>
  <c r="L68" i="12"/>
  <c r="C72" i="12"/>
  <c r="E72" i="12"/>
  <c r="H72" i="12"/>
  <c r="I72" i="12"/>
  <c r="J72" i="12" s="1"/>
  <c r="K72" i="12"/>
  <c r="L72" i="12" s="1"/>
  <c r="C73" i="12"/>
  <c r="E73" i="12"/>
  <c r="C74" i="12"/>
  <c r="D74" i="12" s="1"/>
  <c r="F74" i="12"/>
  <c r="H74" i="12"/>
  <c r="C75" i="12"/>
  <c r="C76" i="12"/>
  <c r="F76" i="12"/>
  <c r="H76" i="12"/>
  <c r="J76" i="12"/>
  <c r="L76" i="12"/>
  <c r="C77" i="12"/>
  <c r="D76" i="12" s="1"/>
  <c r="C78" i="12"/>
  <c r="F78" i="12"/>
  <c r="H78" i="12"/>
  <c r="J78" i="12"/>
  <c r="L78" i="12"/>
  <c r="C79" i="12"/>
  <c r="C80" i="12"/>
  <c r="F80" i="12"/>
  <c r="H80" i="12"/>
  <c r="J80" i="12"/>
  <c r="L80" i="12"/>
  <c r="C81" i="12"/>
  <c r="D80" i="12" s="1"/>
  <c r="D54" i="12" l="1"/>
  <c r="D24" i="12"/>
  <c r="D72" i="12"/>
  <c r="D66" i="12"/>
  <c r="D64" i="12"/>
  <c r="F60" i="12"/>
  <c r="D52" i="12"/>
  <c r="C37" i="12"/>
  <c r="D36" i="12" s="1"/>
  <c r="D26" i="12"/>
  <c r="D78" i="12"/>
  <c r="F66" i="12"/>
  <c r="D62" i="12"/>
  <c r="F58" i="12"/>
  <c r="D2" i="12"/>
  <c r="D58" i="12"/>
  <c r="D14" i="12"/>
  <c r="D4" i="12"/>
  <c r="F72" i="12"/>
  <c r="F62" i="12"/>
  <c r="E53" i="12"/>
  <c r="F52" i="12" s="1"/>
  <c r="D20" i="12"/>
  <c r="D60" i="12"/>
  <c r="E64" i="12"/>
  <c r="F64" i="12" s="1"/>
  <c r="N60" i="12"/>
  <c r="N80" i="12" l="1"/>
  <c r="N78" i="12"/>
  <c r="N76" i="12"/>
  <c r="N72" i="12"/>
  <c r="N68" i="12"/>
  <c r="N66" i="12"/>
  <c r="N64" i="12"/>
  <c r="N62" i="12"/>
  <c r="N58" i="12"/>
  <c r="N56" i="12"/>
  <c r="N54" i="12"/>
  <c r="N52" i="12"/>
  <c r="N50" i="12"/>
  <c r="N48" i="12"/>
  <c r="N46" i="12"/>
  <c r="N44" i="12"/>
  <c r="N40" i="12"/>
  <c r="N38" i="12"/>
  <c r="N36" i="12"/>
  <c r="N34" i="12"/>
  <c r="N32" i="12"/>
  <c r="N30" i="12"/>
  <c r="N28" i="12"/>
  <c r="N26" i="12"/>
  <c r="N24" i="12"/>
  <c r="N20" i="12"/>
  <c r="N16" i="12"/>
  <c r="N14" i="12"/>
  <c r="N8" i="12"/>
  <c r="N4" i="12"/>
  <c r="N2" i="12"/>
  <c r="AL74" i="10" l="1"/>
  <c r="AI74" i="10"/>
  <c r="AF74" i="10"/>
  <c r="AC74" i="10"/>
  <c r="Z74" i="10"/>
  <c r="W74" i="10"/>
  <c r="S74" i="10"/>
  <c r="P74" i="10"/>
  <c r="M74" i="10"/>
  <c r="J74" i="10"/>
  <c r="G74" i="10"/>
  <c r="D74" i="10"/>
  <c r="D56" i="9"/>
  <c r="AK56" i="9"/>
  <c r="AH56" i="9"/>
  <c r="AE56" i="9"/>
  <c r="AB56" i="9"/>
  <c r="Y56" i="9"/>
  <c r="V56" i="9"/>
  <c r="S56" i="9"/>
  <c r="P56" i="9"/>
  <c r="M56" i="9"/>
  <c r="J56" i="9"/>
  <c r="G56" i="9"/>
  <c r="DN76" i="8"/>
  <c r="DL76" i="8"/>
  <c r="DI76" i="8"/>
  <c r="DD76" i="8"/>
  <c r="DA76" i="8"/>
  <c r="CX76" i="8"/>
  <c r="CU76" i="8"/>
  <c r="CR76" i="8"/>
  <c r="CO76" i="8"/>
  <c r="DH108" i="8"/>
  <c r="DK110" i="8"/>
  <c r="DN78" i="8"/>
  <c r="DL78" i="8"/>
  <c r="DI78" i="8"/>
  <c r="DD78" i="8"/>
  <c r="DA78" i="8"/>
  <c r="CX78" i="8"/>
  <c r="CU78" i="8"/>
  <c r="CR78" i="8"/>
  <c r="DK108" i="8"/>
  <c r="DK109" i="8"/>
  <c r="DN56" i="8"/>
  <c r="DN54" i="8"/>
  <c r="DL56" i="8"/>
  <c r="DL54" i="8"/>
  <c r="DN52" i="8"/>
  <c r="DL52" i="8"/>
  <c r="DM9" i="8"/>
  <c r="DN110" i="8"/>
  <c r="DN108" i="8"/>
  <c r="DN104" i="8"/>
  <c r="DN102" i="8"/>
  <c r="DN100" i="8"/>
  <c r="DN96" i="8"/>
  <c r="DN94" i="8"/>
  <c r="DN90" i="8"/>
  <c r="DN88" i="8"/>
  <c r="DN86" i="8"/>
  <c r="DN80" i="8"/>
  <c r="DN74" i="8"/>
  <c r="DN72" i="8"/>
  <c r="DN70" i="8"/>
  <c r="DN66" i="8"/>
  <c r="DN64" i="8"/>
  <c r="DN62" i="8"/>
  <c r="DN60" i="8"/>
  <c r="DN58" i="8"/>
  <c r="DN36" i="8"/>
  <c r="DN34" i="8"/>
  <c r="DN20" i="8"/>
  <c r="DN14" i="8"/>
  <c r="DN12" i="8"/>
  <c r="DN8" i="8"/>
  <c r="DN6" i="8"/>
  <c r="DL110" i="8"/>
  <c r="DI108" i="8"/>
  <c r="DH109" i="8"/>
  <c r="DD110" i="8"/>
  <c r="DC111" i="8"/>
  <c r="DC110" i="8"/>
  <c r="DC109" i="8"/>
  <c r="DC108" i="8"/>
  <c r="DI110" i="8"/>
  <c r="DI74" i="8"/>
  <c r="DD74" i="8"/>
  <c r="CO70" i="8"/>
  <c r="CR70" i="8"/>
  <c r="CU70" i="8"/>
  <c r="CX70" i="8"/>
  <c r="DA70" i="8"/>
  <c r="DD70" i="8"/>
  <c r="DI70" i="8"/>
  <c r="DL70" i="8"/>
  <c r="DL104" i="8"/>
  <c r="DL102" i="8"/>
  <c r="DL96" i="8"/>
  <c r="DI96" i="8"/>
  <c r="DD96" i="8"/>
  <c r="DD100" i="8"/>
  <c r="DL94" i="8"/>
  <c r="DI94" i="8"/>
  <c r="DD94" i="8"/>
  <c r="DL90" i="8"/>
  <c r="DI90" i="8"/>
  <c r="DD90" i="8"/>
  <c r="DL86" i="8"/>
  <c r="DI86" i="8"/>
  <c r="DD86" i="8"/>
  <c r="DL88" i="8"/>
  <c r="DI88" i="8"/>
  <c r="DD88" i="8"/>
  <c r="DI80" i="8"/>
  <c r="DL80" i="8"/>
  <c r="DD80" i="8"/>
  <c r="DL74" i="8"/>
  <c r="DL72" i="8"/>
  <c r="DI72" i="8"/>
  <c r="DD72" i="8"/>
  <c r="DL66" i="8"/>
  <c r="DI66" i="8"/>
  <c r="DD66" i="8"/>
  <c r="DL64" i="8"/>
  <c r="DI64" i="8"/>
  <c r="DD64" i="8"/>
  <c r="DL62" i="8"/>
  <c r="DI62" i="8"/>
  <c r="DD62" i="8"/>
  <c r="DL60" i="8"/>
  <c r="DI60" i="8"/>
  <c r="DD60" i="8"/>
  <c r="DL58" i="8"/>
  <c r="DI58" i="8"/>
  <c r="DD58" i="8"/>
  <c r="DI52" i="8"/>
  <c r="DD52" i="8"/>
  <c r="DI54" i="8"/>
  <c r="DD54" i="8"/>
  <c r="DI56" i="8"/>
  <c r="DD56" i="8"/>
  <c r="DL36" i="8"/>
  <c r="DI36" i="8"/>
  <c r="DD36" i="8"/>
  <c r="DL34" i="8"/>
  <c r="DI34" i="8"/>
  <c r="DD34" i="8"/>
  <c r="DL20" i="8"/>
  <c r="DI20" i="8"/>
  <c r="DD20" i="8"/>
  <c r="DK9" i="8"/>
  <c r="DI12" i="8"/>
  <c r="DL12" i="8"/>
  <c r="DL108" i="8"/>
  <c r="DL100" i="8"/>
  <c r="DL14" i="8"/>
  <c r="DL8" i="8"/>
  <c r="DL6" i="8"/>
  <c r="DI14" i="8"/>
  <c r="DD14" i="8"/>
  <c r="DD12" i="8"/>
  <c r="DI10" i="8"/>
  <c r="DH9" i="8"/>
  <c r="DI8" i="8"/>
  <c r="DC9" i="8"/>
  <c r="DD8" i="8"/>
  <c r="DI6" i="8"/>
  <c r="DD6" i="8"/>
  <c r="DI100" i="8"/>
  <c r="DD108" i="8"/>
  <c r="DG32" i="8"/>
  <c r="DF7" i="8"/>
  <c r="DF8" i="8"/>
  <c r="DF10" i="8"/>
  <c r="DF11" i="8"/>
  <c r="DF12" i="8"/>
  <c r="DG12" i="8"/>
  <c r="DF13" i="8"/>
  <c r="DF14" i="8"/>
  <c r="DF15" i="8"/>
  <c r="DF16" i="8"/>
  <c r="DF17" i="8"/>
  <c r="DF18" i="8"/>
  <c r="DF19" i="8"/>
  <c r="DF20" i="8"/>
  <c r="DF21" i="8"/>
  <c r="DF22" i="8"/>
  <c r="DF23" i="8"/>
  <c r="DF24" i="8"/>
  <c r="DG24" i="8"/>
  <c r="DF25" i="8"/>
  <c r="DF26" i="8"/>
  <c r="DF27" i="8"/>
  <c r="DF28" i="8"/>
  <c r="DG28" i="8"/>
  <c r="DF29" i="8"/>
  <c r="DF30" i="8"/>
  <c r="DG30" i="8"/>
  <c r="DF31" i="8"/>
  <c r="DF32" i="8"/>
  <c r="DF33" i="8"/>
  <c r="DF34" i="8"/>
  <c r="DF35" i="8"/>
  <c r="DF36" i="8"/>
  <c r="DF37" i="8"/>
  <c r="DF38" i="8"/>
  <c r="DF39" i="8"/>
  <c r="DF40" i="8"/>
  <c r="DG40" i="8"/>
  <c r="DF41" i="8"/>
  <c r="DF42" i="8"/>
  <c r="DG42" i="8"/>
  <c r="DF43" i="8"/>
  <c r="DF44" i="8"/>
  <c r="DG44" i="8"/>
  <c r="DF45" i="8"/>
  <c r="DF46" i="8"/>
  <c r="DG46" i="8"/>
  <c r="DF47" i="8"/>
  <c r="DF48" i="8"/>
  <c r="DG48" i="8"/>
  <c r="DF49" i="8"/>
  <c r="DF50" i="8"/>
  <c r="DF51" i="8"/>
  <c r="DF52" i="8"/>
  <c r="DF53" i="8"/>
  <c r="DF54" i="8"/>
  <c r="DG54" i="8"/>
  <c r="DF55" i="8"/>
  <c r="DF56" i="8"/>
  <c r="DF57" i="8"/>
  <c r="DF58" i="8"/>
  <c r="DF59" i="8"/>
  <c r="DF60" i="8"/>
  <c r="DF61" i="8"/>
  <c r="DF62" i="8"/>
  <c r="DF63" i="8"/>
  <c r="DF64" i="8"/>
  <c r="DF65" i="8"/>
  <c r="DF66" i="8"/>
  <c r="DF67" i="8"/>
  <c r="DF68" i="8"/>
  <c r="DF69" i="8"/>
  <c r="DG68" i="8"/>
  <c r="DF70" i="8"/>
  <c r="DF71" i="8"/>
  <c r="DF72" i="8"/>
  <c r="DF73" i="8"/>
  <c r="DF74" i="8"/>
  <c r="DF75" i="8"/>
  <c r="DF76" i="8"/>
  <c r="DF77" i="8"/>
  <c r="DF78" i="8"/>
  <c r="DF79" i="8"/>
  <c r="DF80" i="8"/>
  <c r="DF82" i="8"/>
  <c r="DG82" i="8"/>
  <c r="DF83" i="8"/>
  <c r="DF84" i="8"/>
  <c r="DG84" i="8"/>
  <c r="DF85" i="8"/>
  <c r="DF86" i="8"/>
  <c r="DF87" i="8"/>
  <c r="DF88" i="8"/>
  <c r="DG88" i="8"/>
  <c r="DF89" i="8"/>
  <c r="DF90" i="8"/>
  <c r="DF91" i="8"/>
  <c r="DF92" i="8"/>
  <c r="DF93" i="8"/>
  <c r="DF94" i="8"/>
  <c r="DF95" i="8"/>
  <c r="DF96" i="8"/>
  <c r="DG96" i="8"/>
  <c r="DF97" i="8"/>
  <c r="DF98" i="8"/>
  <c r="DF99" i="8"/>
  <c r="DF100" i="8"/>
  <c r="DG100" i="8"/>
  <c r="DF101" i="8"/>
  <c r="DF102" i="8"/>
  <c r="DF103" i="8"/>
  <c r="DF104" i="8"/>
  <c r="DF105" i="8"/>
  <c r="DF106" i="8"/>
  <c r="DG106" i="8"/>
  <c r="DF107" i="8"/>
  <c r="DF6" i="8"/>
  <c r="DG6" i="8"/>
  <c r="DG56" i="8"/>
  <c r="DG38" i="8"/>
  <c r="DG20" i="8"/>
  <c r="DG98" i="8"/>
  <c r="DG50" i="8"/>
  <c r="DG92" i="8"/>
  <c r="DG70" i="8"/>
  <c r="DG10" i="8"/>
  <c r="DG18" i="8"/>
  <c r="DG104" i="8"/>
  <c r="DG102" i="8"/>
  <c r="DG76" i="8"/>
  <c r="DG74" i="8"/>
  <c r="DG72" i="8"/>
  <c r="DG66" i="8"/>
  <c r="DG64" i="8"/>
  <c r="DG62" i="8"/>
  <c r="DG60" i="8"/>
  <c r="DG58" i="8"/>
  <c r="DG52" i="8"/>
  <c r="DG36" i="8"/>
  <c r="DG34" i="8"/>
  <c r="DG26" i="8"/>
  <c r="DG22" i="8"/>
  <c r="DG16" i="8"/>
  <c r="DG14" i="8"/>
  <c r="DG94" i="8"/>
  <c r="DG90" i="8"/>
  <c r="DG86" i="8"/>
  <c r="DG78" i="8"/>
  <c r="AN77" i="10"/>
  <c r="AO12" i="10"/>
  <c r="AO14" i="10"/>
  <c r="AO24" i="10"/>
  <c r="AO36" i="10"/>
  <c r="AO48" i="10"/>
  <c r="AP49" i="10"/>
  <c r="AO50" i="10"/>
  <c r="AP51" i="10"/>
  <c r="AO60" i="10"/>
  <c r="AP60" i="10"/>
  <c r="AO62" i="10"/>
  <c r="AP63" i="10"/>
  <c r="AO74" i="10"/>
  <c r="AP75" i="10"/>
  <c r="AO76" i="10"/>
  <c r="AP77" i="10"/>
  <c r="AO84" i="10"/>
  <c r="AO98" i="10"/>
  <c r="AE107" i="10"/>
  <c r="Y107" i="10"/>
  <c r="R107" i="10"/>
  <c r="O107" i="10"/>
  <c r="C107" i="10"/>
  <c r="AL106" i="10"/>
  <c r="AH106" i="10"/>
  <c r="AI106" i="10"/>
  <c r="AE106" i="10"/>
  <c r="AB106" i="10"/>
  <c r="Y106" i="10"/>
  <c r="Z106" i="10"/>
  <c r="W106" i="10"/>
  <c r="R106" i="10"/>
  <c r="S106" i="10"/>
  <c r="O106" i="10"/>
  <c r="L106" i="10"/>
  <c r="J106" i="10"/>
  <c r="G106" i="10"/>
  <c r="D106" i="10"/>
  <c r="AH105" i="10"/>
  <c r="AE105" i="10"/>
  <c r="AB105" i="10"/>
  <c r="Y105" i="10"/>
  <c r="R105" i="10"/>
  <c r="O105" i="10"/>
  <c r="L105" i="10"/>
  <c r="C105" i="10"/>
  <c r="AL104" i="10"/>
  <c r="AH104" i="10"/>
  <c r="AE104" i="10"/>
  <c r="AB104" i="10"/>
  <c r="Y104" i="10"/>
  <c r="W104" i="10"/>
  <c r="R104" i="10"/>
  <c r="S104" i="10"/>
  <c r="O104" i="10"/>
  <c r="P104" i="10"/>
  <c r="L104" i="10"/>
  <c r="J104" i="10"/>
  <c r="G104" i="10"/>
  <c r="AN103" i="10"/>
  <c r="U103" i="10"/>
  <c r="AN102" i="10"/>
  <c r="AO102" i="10"/>
  <c r="U102" i="10"/>
  <c r="AN101" i="10"/>
  <c r="U101" i="10"/>
  <c r="AN100" i="10"/>
  <c r="AO100" i="10"/>
  <c r="AL100" i="10"/>
  <c r="AI100" i="10"/>
  <c r="W100" i="10"/>
  <c r="U100" i="10"/>
  <c r="S100" i="10"/>
  <c r="P100" i="10"/>
  <c r="M100" i="10"/>
  <c r="J100" i="10"/>
  <c r="G100" i="10"/>
  <c r="D100" i="10"/>
  <c r="AN99" i="10"/>
  <c r="U99" i="10"/>
  <c r="AN98" i="10"/>
  <c r="AL98" i="10"/>
  <c r="AI98" i="10"/>
  <c r="AF98" i="10"/>
  <c r="AC98" i="10"/>
  <c r="Z98" i="10"/>
  <c r="W98" i="10"/>
  <c r="V98" i="10"/>
  <c r="U98" i="10"/>
  <c r="S98" i="10"/>
  <c r="P98" i="10"/>
  <c r="M98" i="10"/>
  <c r="J98" i="10"/>
  <c r="G98" i="10"/>
  <c r="D98" i="10"/>
  <c r="AN97" i="10"/>
  <c r="U97" i="10"/>
  <c r="AL96" i="10"/>
  <c r="AI96" i="10"/>
  <c r="AF96" i="10"/>
  <c r="AB96" i="10"/>
  <c r="Y96" i="10"/>
  <c r="Z96" i="10"/>
  <c r="V96" i="10"/>
  <c r="W96" i="10"/>
  <c r="U96" i="10"/>
  <c r="S96" i="10"/>
  <c r="P96" i="10"/>
  <c r="M96" i="10"/>
  <c r="J96" i="10"/>
  <c r="F96" i="10"/>
  <c r="G96" i="10"/>
  <c r="D96" i="10"/>
  <c r="AN95" i="10"/>
  <c r="U95" i="10"/>
  <c r="AN94" i="10"/>
  <c r="AO94" i="10"/>
  <c r="U94" i="10"/>
  <c r="AN93" i="10"/>
  <c r="R93" i="10"/>
  <c r="S92" i="10"/>
  <c r="O93" i="10"/>
  <c r="L93" i="10"/>
  <c r="I93" i="10"/>
  <c r="F93" i="10"/>
  <c r="C93" i="10"/>
  <c r="AN92" i="10"/>
  <c r="AO92" i="10"/>
  <c r="AL92" i="10"/>
  <c r="AI92" i="10"/>
  <c r="AF92" i="10"/>
  <c r="AC92" i="10"/>
  <c r="Z92" i="10"/>
  <c r="W92" i="10"/>
  <c r="R92" i="10"/>
  <c r="O92" i="10"/>
  <c r="L92" i="10"/>
  <c r="M92" i="10"/>
  <c r="I92" i="10"/>
  <c r="J92" i="10"/>
  <c r="F92" i="10"/>
  <c r="G92" i="10"/>
  <c r="C92" i="10"/>
  <c r="AN91" i="10"/>
  <c r="U91" i="10"/>
  <c r="AN90" i="10"/>
  <c r="AO90" i="10"/>
  <c r="AL90" i="10"/>
  <c r="AI90" i="10"/>
  <c r="AF90" i="10"/>
  <c r="AC90" i="10"/>
  <c r="Z90" i="10"/>
  <c r="W90" i="10"/>
  <c r="U90" i="10"/>
  <c r="S90" i="10"/>
  <c r="P90" i="10"/>
  <c r="M90" i="10"/>
  <c r="J90" i="10"/>
  <c r="G90" i="10"/>
  <c r="D90" i="10"/>
  <c r="AN89" i="10"/>
  <c r="U89" i="10"/>
  <c r="AN88" i="10"/>
  <c r="AO88" i="10"/>
  <c r="U88" i="10"/>
  <c r="AN87" i="10"/>
  <c r="U87" i="10"/>
  <c r="AN86" i="10"/>
  <c r="AO86" i="10"/>
  <c r="AL86" i="10"/>
  <c r="AI86" i="10"/>
  <c r="AF86" i="10"/>
  <c r="AC86" i="10"/>
  <c r="Z86" i="10"/>
  <c r="W86" i="10"/>
  <c r="U86" i="10"/>
  <c r="S86" i="10"/>
  <c r="P86" i="10"/>
  <c r="M86" i="10"/>
  <c r="J86" i="10"/>
  <c r="G86" i="10"/>
  <c r="D86" i="10"/>
  <c r="AN85" i="10"/>
  <c r="U85" i="10"/>
  <c r="AN84" i="10"/>
  <c r="AL84" i="10"/>
  <c r="AI84" i="10"/>
  <c r="AF84" i="10"/>
  <c r="AC84" i="10"/>
  <c r="Z84" i="10"/>
  <c r="W84" i="10"/>
  <c r="U84" i="10"/>
  <c r="S84" i="10"/>
  <c r="P84" i="10"/>
  <c r="M84" i="10"/>
  <c r="J84" i="10"/>
  <c r="G84" i="10"/>
  <c r="D84" i="10"/>
  <c r="AN83" i="10"/>
  <c r="U83" i="10"/>
  <c r="AN82" i="10"/>
  <c r="AO82" i="10"/>
  <c r="AL82" i="10"/>
  <c r="AI82" i="10"/>
  <c r="AF82" i="10"/>
  <c r="AC82" i="10"/>
  <c r="Z82" i="10"/>
  <c r="W82" i="10"/>
  <c r="U82" i="10"/>
  <c r="S82" i="10"/>
  <c r="P82" i="10"/>
  <c r="M82" i="10"/>
  <c r="J82" i="10"/>
  <c r="G82" i="10"/>
  <c r="D82" i="10"/>
  <c r="AN81" i="10"/>
  <c r="U81" i="10"/>
  <c r="AN80" i="10"/>
  <c r="AO80" i="10"/>
  <c r="U80" i="10"/>
  <c r="AN79" i="10"/>
  <c r="U79" i="10"/>
  <c r="AN78" i="10"/>
  <c r="AO78" i="10"/>
  <c r="U78" i="10"/>
  <c r="AE77" i="10"/>
  <c r="AF76" i="10"/>
  <c r="Y77" i="10"/>
  <c r="V77" i="10"/>
  <c r="R77" i="10"/>
  <c r="S76" i="10"/>
  <c r="O77" i="10"/>
  <c r="P76" i="10"/>
  <c r="L77" i="10"/>
  <c r="M76" i="10"/>
  <c r="I77" i="10"/>
  <c r="J76" i="10"/>
  <c r="F77" i="10"/>
  <c r="C77" i="10"/>
  <c r="AL76" i="10"/>
  <c r="AI76" i="10"/>
  <c r="AC76" i="10"/>
  <c r="Z76" i="10"/>
  <c r="W76" i="10"/>
  <c r="U76" i="10"/>
  <c r="G76" i="10"/>
  <c r="D76" i="10"/>
  <c r="AN75" i="10"/>
  <c r="U75" i="10"/>
  <c r="AN74" i="10"/>
  <c r="U74" i="10"/>
  <c r="AN73" i="10"/>
  <c r="AO72" i="10"/>
  <c r="AP72" i="10"/>
  <c r="U73" i="10"/>
  <c r="AN72" i="10"/>
  <c r="AI72" i="10"/>
  <c r="U72" i="10"/>
  <c r="S72" i="10"/>
  <c r="P72" i="10"/>
  <c r="M72" i="10"/>
  <c r="J72" i="10"/>
  <c r="G72" i="10"/>
  <c r="D72" i="10"/>
  <c r="AN71" i="10"/>
  <c r="U71" i="10"/>
  <c r="AN70" i="10"/>
  <c r="AO70" i="10"/>
  <c r="U70" i="10"/>
  <c r="AN69" i="10"/>
  <c r="U69" i="10"/>
  <c r="AN68" i="10"/>
  <c r="AO68" i="10"/>
  <c r="U68" i="10"/>
  <c r="S68" i="10"/>
  <c r="P68" i="10"/>
  <c r="M68" i="10"/>
  <c r="J68" i="10"/>
  <c r="G68" i="10"/>
  <c r="D68" i="10"/>
  <c r="AN67" i="10"/>
  <c r="U67" i="10"/>
  <c r="AN66" i="10"/>
  <c r="AO66" i="10"/>
  <c r="U66" i="10"/>
  <c r="S66" i="10"/>
  <c r="P66" i="10"/>
  <c r="M66" i="10"/>
  <c r="J66" i="10"/>
  <c r="G66" i="10"/>
  <c r="D66" i="10"/>
  <c r="AN65" i="10"/>
  <c r="U65" i="10"/>
  <c r="AN64" i="10"/>
  <c r="AO64" i="10"/>
  <c r="U64" i="10"/>
  <c r="S64" i="10"/>
  <c r="P64" i="10"/>
  <c r="M64" i="10"/>
  <c r="J64" i="10"/>
  <c r="G64" i="10"/>
  <c r="D64" i="10"/>
  <c r="AN63" i="10"/>
  <c r="U63" i="10"/>
  <c r="AN62" i="10"/>
  <c r="U62" i="10"/>
  <c r="S62" i="10"/>
  <c r="P62" i="10"/>
  <c r="M62" i="10"/>
  <c r="J62" i="10"/>
  <c r="G62" i="10"/>
  <c r="D62" i="10"/>
  <c r="AN61" i="10"/>
  <c r="U61" i="10"/>
  <c r="AN60" i="10"/>
  <c r="AL60" i="10"/>
  <c r="AI60" i="10"/>
  <c r="AF60" i="10"/>
  <c r="AC60" i="10"/>
  <c r="U60" i="10"/>
  <c r="S60" i="10"/>
  <c r="P60" i="10"/>
  <c r="M60" i="10"/>
  <c r="J60" i="10"/>
  <c r="G60" i="10"/>
  <c r="D60" i="10"/>
  <c r="AN59" i="10"/>
  <c r="U59" i="10"/>
  <c r="AN58" i="10"/>
  <c r="AO58" i="10"/>
  <c r="AP58" i="10"/>
  <c r="AI58" i="10"/>
  <c r="AF58" i="10"/>
  <c r="U58" i="10"/>
  <c r="S58" i="10"/>
  <c r="P58" i="10"/>
  <c r="M58" i="10"/>
  <c r="J58" i="10"/>
  <c r="G58" i="10"/>
  <c r="D58" i="10"/>
  <c r="AN57" i="10"/>
  <c r="U57" i="10"/>
  <c r="AN56" i="10"/>
  <c r="AO56" i="10"/>
  <c r="U56" i="10"/>
  <c r="S56" i="10"/>
  <c r="P56" i="10"/>
  <c r="M56" i="10"/>
  <c r="J56" i="10"/>
  <c r="G56" i="10"/>
  <c r="D56" i="10"/>
  <c r="AN55" i="10"/>
  <c r="U55" i="10"/>
  <c r="AN54" i="10"/>
  <c r="AO54" i="10"/>
  <c r="U54" i="10"/>
  <c r="S54" i="10"/>
  <c r="P54" i="10"/>
  <c r="M54" i="10"/>
  <c r="J54" i="10"/>
  <c r="G54" i="10"/>
  <c r="D54" i="10"/>
  <c r="AN53" i="10"/>
  <c r="U53" i="10"/>
  <c r="AN52" i="10"/>
  <c r="AO52" i="10"/>
  <c r="AP53" i="10"/>
  <c r="AL52" i="10"/>
  <c r="AI52" i="10"/>
  <c r="AF52" i="10"/>
  <c r="AC52" i="10"/>
  <c r="U52" i="10"/>
  <c r="S52" i="10"/>
  <c r="P52" i="10"/>
  <c r="M52" i="10"/>
  <c r="J52" i="10"/>
  <c r="G52" i="10"/>
  <c r="D52" i="10"/>
  <c r="AN51" i="10"/>
  <c r="F51" i="10"/>
  <c r="C51" i="10"/>
  <c r="U51" i="10"/>
  <c r="AN50" i="10"/>
  <c r="AL50" i="10"/>
  <c r="AI50" i="10"/>
  <c r="AF50" i="10"/>
  <c r="AC50" i="10"/>
  <c r="U50" i="10"/>
  <c r="S50" i="10"/>
  <c r="P50" i="10"/>
  <c r="M50" i="10"/>
  <c r="J50" i="10"/>
  <c r="G50" i="10"/>
  <c r="D50" i="10"/>
  <c r="AN49" i="10"/>
  <c r="F49" i="10"/>
  <c r="C49" i="10"/>
  <c r="D48" i="10"/>
  <c r="AN48" i="10"/>
  <c r="AL48" i="10"/>
  <c r="AI48" i="10"/>
  <c r="AF48" i="10"/>
  <c r="AC48" i="10"/>
  <c r="U48" i="10"/>
  <c r="S48" i="10"/>
  <c r="P48" i="10"/>
  <c r="M48" i="10"/>
  <c r="J48" i="10"/>
  <c r="G48" i="10"/>
  <c r="AN47" i="10"/>
  <c r="U47" i="10"/>
  <c r="AN46" i="10"/>
  <c r="AO46" i="10"/>
  <c r="U46" i="10"/>
  <c r="AN45" i="10"/>
  <c r="U45" i="10"/>
  <c r="AN44" i="10"/>
  <c r="AO44" i="10"/>
  <c r="U44" i="10"/>
  <c r="AN43" i="10"/>
  <c r="U43" i="10"/>
  <c r="AN42" i="10"/>
  <c r="AO42" i="10"/>
  <c r="U42" i="10"/>
  <c r="AN41" i="10"/>
  <c r="U41" i="10"/>
  <c r="AN40" i="10"/>
  <c r="AO40" i="10"/>
  <c r="U40" i="10"/>
  <c r="AN39" i="10"/>
  <c r="U39" i="10"/>
  <c r="AN38" i="10"/>
  <c r="AO38" i="10"/>
  <c r="U38" i="10"/>
  <c r="AN37" i="10"/>
  <c r="U37" i="10"/>
  <c r="AN36" i="10"/>
  <c r="U36" i="10"/>
  <c r="AN35" i="10"/>
  <c r="U35" i="10"/>
  <c r="AN34" i="10"/>
  <c r="AO34" i="10"/>
  <c r="U34" i="10"/>
  <c r="AN33" i="10"/>
  <c r="U33" i="10"/>
  <c r="AN32" i="10"/>
  <c r="AO32" i="10"/>
  <c r="AP33" i="10"/>
  <c r="AL32" i="10"/>
  <c r="AI32" i="10"/>
  <c r="AF32" i="10"/>
  <c r="AC32" i="10"/>
  <c r="Z32" i="10"/>
  <c r="W32" i="10"/>
  <c r="U32" i="10"/>
  <c r="S32" i="10"/>
  <c r="P32" i="10"/>
  <c r="M32" i="10"/>
  <c r="J32" i="10"/>
  <c r="G32" i="10"/>
  <c r="D32" i="10"/>
  <c r="AN31" i="10"/>
  <c r="U31" i="10"/>
  <c r="AN30" i="10"/>
  <c r="AO30" i="10"/>
  <c r="AP30" i="10"/>
  <c r="AL30" i="10"/>
  <c r="AI30" i="10"/>
  <c r="AF30" i="10"/>
  <c r="AC30" i="10"/>
  <c r="Z30" i="10"/>
  <c r="W30" i="10"/>
  <c r="U30" i="10"/>
  <c r="S30" i="10"/>
  <c r="P30" i="10"/>
  <c r="M30" i="10"/>
  <c r="J30" i="10"/>
  <c r="G30" i="10"/>
  <c r="D30" i="10"/>
  <c r="AN29" i="10"/>
  <c r="U29" i="10"/>
  <c r="AN28" i="10"/>
  <c r="AO28" i="10"/>
  <c r="U28" i="10"/>
  <c r="AN27" i="10"/>
  <c r="U27" i="10"/>
  <c r="AN26" i="10"/>
  <c r="AO26" i="10"/>
  <c r="U26" i="10"/>
  <c r="AN25" i="10"/>
  <c r="U25" i="10"/>
  <c r="AN24" i="10"/>
  <c r="U24" i="10"/>
  <c r="AN23" i="10"/>
  <c r="U23" i="10"/>
  <c r="AN22" i="10"/>
  <c r="AO22" i="10"/>
  <c r="AP23" i="10"/>
  <c r="AL22" i="10"/>
  <c r="AF22" i="10"/>
  <c r="AC22" i="10"/>
  <c r="Z22" i="10"/>
  <c r="W22" i="10"/>
  <c r="U22" i="10"/>
  <c r="S22" i="10"/>
  <c r="P22" i="10"/>
  <c r="M22" i="10"/>
  <c r="J22" i="10"/>
  <c r="G22" i="10"/>
  <c r="D22" i="10"/>
  <c r="AN21" i="10"/>
  <c r="U21" i="10"/>
  <c r="AN20" i="10"/>
  <c r="AO20" i="10"/>
  <c r="U20" i="10"/>
  <c r="AN19" i="10"/>
  <c r="U19" i="10"/>
  <c r="AN18" i="10"/>
  <c r="AO18" i="10"/>
  <c r="U18" i="10"/>
  <c r="AN17" i="10"/>
  <c r="U17" i="10"/>
  <c r="AN16" i="10"/>
  <c r="AO16" i="10"/>
  <c r="U16" i="10"/>
  <c r="S16" i="10"/>
  <c r="P16" i="10"/>
  <c r="M16" i="10"/>
  <c r="J16" i="10"/>
  <c r="G16" i="10"/>
  <c r="D16" i="10"/>
  <c r="AN15" i="10"/>
  <c r="U15" i="10"/>
  <c r="AN14" i="10"/>
  <c r="U14" i="10"/>
  <c r="S14" i="10"/>
  <c r="P14" i="10"/>
  <c r="M14" i="10"/>
  <c r="J14" i="10"/>
  <c r="G14" i="10"/>
  <c r="D14" i="10"/>
  <c r="AN13" i="10"/>
  <c r="U13" i="10"/>
  <c r="AN12" i="10"/>
  <c r="U12" i="10"/>
  <c r="S12" i="10"/>
  <c r="P12" i="10"/>
  <c r="M12" i="10"/>
  <c r="J12" i="10"/>
  <c r="G12" i="10"/>
  <c r="D12" i="10"/>
  <c r="AN11" i="10"/>
  <c r="U11" i="10"/>
  <c r="AN10" i="10"/>
  <c r="AO10" i="10"/>
  <c r="U10" i="10"/>
  <c r="S10" i="10"/>
  <c r="P10" i="10"/>
  <c r="M10" i="10"/>
  <c r="J10" i="10"/>
  <c r="G10" i="10"/>
  <c r="D10" i="10"/>
  <c r="AN9" i="10"/>
  <c r="U9" i="10"/>
  <c r="AN8" i="10"/>
  <c r="AO8" i="10"/>
  <c r="AL8" i="10"/>
  <c r="AI8" i="10"/>
  <c r="AF8" i="10"/>
  <c r="AC8" i="10"/>
  <c r="Z8" i="10"/>
  <c r="W8" i="10"/>
  <c r="U8" i="10"/>
  <c r="S8" i="10"/>
  <c r="P8" i="10"/>
  <c r="M8" i="10"/>
  <c r="J8" i="10"/>
  <c r="G8" i="10"/>
  <c r="D8" i="10"/>
  <c r="AN7" i="10"/>
  <c r="U7" i="10"/>
  <c r="AN6" i="10"/>
  <c r="AO6" i="10"/>
  <c r="AI6" i="10"/>
  <c r="AC6" i="10"/>
  <c r="U6" i="10"/>
  <c r="AK5" i="10"/>
  <c r="AE5" i="10"/>
  <c r="AF4" i="10"/>
  <c r="AB5" i="10"/>
  <c r="AC4" i="10"/>
  <c r="V5" i="10"/>
  <c r="W4" i="10"/>
  <c r="R5" i="10"/>
  <c r="S4" i="10"/>
  <c r="O5" i="10"/>
  <c r="P4" i="10"/>
  <c r="L5" i="10"/>
  <c r="M4" i="10"/>
  <c r="I5" i="10"/>
  <c r="F5" i="10"/>
  <c r="G4" i="10"/>
  <c r="C5" i="10"/>
  <c r="D4" i="10"/>
  <c r="AN4" i="10"/>
  <c r="AI4" i="10"/>
  <c r="Z4" i="10"/>
  <c r="U4" i="10"/>
  <c r="J4" i="10"/>
  <c r="AN3" i="10"/>
  <c r="AO2" i="10"/>
  <c r="AP2" i="10"/>
  <c r="U3" i="10"/>
  <c r="AN2" i="10"/>
  <c r="AL2" i="10"/>
  <c r="AI2" i="10"/>
  <c r="AF2" i="10"/>
  <c r="AC2" i="10"/>
  <c r="Z2" i="10"/>
  <c r="W2" i="10"/>
  <c r="U2" i="10"/>
  <c r="S2" i="10"/>
  <c r="P2" i="10"/>
  <c r="M2" i="10"/>
  <c r="J2" i="10"/>
  <c r="G2" i="10"/>
  <c r="D2" i="10"/>
  <c r="AM40" i="9"/>
  <c r="AN41" i="9"/>
  <c r="AL47" i="9"/>
  <c r="M104" i="10"/>
  <c r="AF104" i="10"/>
  <c r="P92" i="10"/>
  <c r="AF106" i="10"/>
  <c r="AN104" i="10"/>
  <c r="AO104" i="10"/>
  <c r="AN5" i="10"/>
  <c r="AO4" i="10"/>
  <c r="AN107" i="10"/>
  <c r="U5" i="10"/>
  <c r="U92" i="10"/>
  <c r="AN96" i="10"/>
  <c r="AO96" i="10"/>
  <c r="AC104" i="10"/>
  <c r="U106" i="10"/>
  <c r="AC96" i="10"/>
  <c r="U104" i="10"/>
  <c r="Z104" i="10"/>
  <c r="U105" i="10"/>
  <c r="M106" i="10"/>
  <c r="AN106" i="10"/>
  <c r="AO106" i="10"/>
  <c r="AN105" i="10"/>
  <c r="P106" i="10"/>
  <c r="AL4" i="10"/>
  <c r="U93" i="10"/>
  <c r="U77" i="10"/>
  <c r="D92" i="10"/>
  <c r="U49" i="10"/>
  <c r="D104" i="10"/>
  <c r="AI104" i="10"/>
  <c r="AC106" i="10"/>
  <c r="U107" i="10"/>
  <c r="AL3" i="9"/>
  <c r="AL4" i="9"/>
  <c r="AL6" i="9"/>
  <c r="AM6" i="9"/>
  <c r="AL8" i="9"/>
  <c r="AL9" i="9"/>
  <c r="AL10" i="9"/>
  <c r="AM10" i="9"/>
  <c r="AL11" i="9"/>
  <c r="AL12" i="9"/>
  <c r="AL13" i="9"/>
  <c r="AL14" i="9"/>
  <c r="AL15" i="9"/>
  <c r="AL16" i="9"/>
  <c r="AM16" i="9"/>
  <c r="AL17" i="9"/>
  <c r="AL18" i="9"/>
  <c r="AL19" i="9"/>
  <c r="AL20" i="9"/>
  <c r="AL21" i="9"/>
  <c r="AL22" i="9"/>
  <c r="AM22" i="9"/>
  <c r="AL23" i="9"/>
  <c r="AL24" i="9"/>
  <c r="AL25" i="9"/>
  <c r="AL26" i="9"/>
  <c r="AL27" i="9"/>
  <c r="AL28" i="9"/>
  <c r="AL29" i="9"/>
  <c r="AL30" i="9"/>
  <c r="AL32" i="9"/>
  <c r="AL34" i="9"/>
  <c r="AL36" i="9"/>
  <c r="AL37" i="9"/>
  <c r="AL38" i="9"/>
  <c r="AM38" i="9"/>
  <c r="AL39" i="9"/>
  <c r="AL42" i="9"/>
  <c r="AM42" i="9"/>
  <c r="AN43" i="9"/>
  <c r="AL44" i="9"/>
  <c r="AM44" i="9"/>
  <c r="AL46" i="9"/>
  <c r="AM46" i="9"/>
  <c r="AL48" i="9"/>
  <c r="AM48" i="9"/>
  <c r="AL50" i="9"/>
  <c r="AM50" i="9"/>
  <c r="AL52" i="9"/>
  <c r="AM52" i="9"/>
  <c r="AL54" i="9"/>
  <c r="AM54" i="9"/>
  <c r="AN54" i="9"/>
  <c r="AL56" i="9"/>
  <c r="AL57" i="9"/>
  <c r="AL58" i="9"/>
  <c r="AL60" i="9"/>
  <c r="AM60" i="9"/>
  <c r="AL61" i="9"/>
  <c r="AL62" i="9"/>
  <c r="AM62" i="9"/>
  <c r="AL63" i="9"/>
  <c r="AL64" i="9"/>
  <c r="AL65" i="9"/>
  <c r="AL66" i="9"/>
  <c r="AM66" i="9"/>
  <c r="AL67" i="9"/>
  <c r="AL69" i="9"/>
  <c r="AL70" i="9"/>
  <c r="AL71" i="9"/>
  <c r="AL73" i="9"/>
  <c r="AL75" i="9"/>
  <c r="AL76" i="9"/>
  <c r="AL77" i="9"/>
  <c r="AL78" i="9"/>
  <c r="AL79" i="9"/>
  <c r="AL2" i="9"/>
  <c r="AM2" i="9"/>
  <c r="AG83" i="9"/>
  <c r="AD83" i="9"/>
  <c r="AA83" i="9"/>
  <c r="X83" i="9"/>
  <c r="U83" i="9"/>
  <c r="R83" i="9"/>
  <c r="O83" i="9"/>
  <c r="AK82" i="9"/>
  <c r="AG82" i="9"/>
  <c r="AD82" i="9"/>
  <c r="AA82" i="9"/>
  <c r="X82" i="9"/>
  <c r="U82" i="9"/>
  <c r="R82" i="9"/>
  <c r="O82" i="9"/>
  <c r="M82" i="9"/>
  <c r="J82" i="9"/>
  <c r="G82" i="9"/>
  <c r="D82" i="9"/>
  <c r="AG81" i="9"/>
  <c r="AD81" i="9"/>
  <c r="AA81" i="9"/>
  <c r="X81" i="9"/>
  <c r="U81" i="9"/>
  <c r="R81" i="9"/>
  <c r="O81" i="9"/>
  <c r="AK80" i="9"/>
  <c r="AG80" i="9"/>
  <c r="AD80" i="9"/>
  <c r="AA80" i="9"/>
  <c r="X80" i="9"/>
  <c r="U80" i="9"/>
  <c r="R80" i="9"/>
  <c r="O80" i="9"/>
  <c r="M80" i="9"/>
  <c r="J80" i="9"/>
  <c r="G80" i="9"/>
  <c r="D80" i="9"/>
  <c r="AK76" i="9"/>
  <c r="AH76" i="9"/>
  <c r="AK74" i="9"/>
  <c r="AH74" i="9"/>
  <c r="AE74" i="9"/>
  <c r="AB74" i="9"/>
  <c r="Y74" i="9"/>
  <c r="U74" i="9"/>
  <c r="V74" i="9"/>
  <c r="R74" i="9"/>
  <c r="S74" i="9"/>
  <c r="O74" i="9"/>
  <c r="P74" i="9"/>
  <c r="L74" i="9"/>
  <c r="M74" i="9"/>
  <c r="I74" i="9"/>
  <c r="J74" i="9"/>
  <c r="G74" i="9"/>
  <c r="D74" i="9"/>
  <c r="AJ72" i="9"/>
  <c r="AK72" i="9"/>
  <c r="AG72" i="9"/>
  <c r="AH72" i="9"/>
  <c r="AE72" i="9"/>
  <c r="AB72" i="9"/>
  <c r="Y72" i="9"/>
  <c r="U72" i="9"/>
  <c r="V72" i="9"/>
  <c r="R72" i="9"/>
  <c r="S72" i="9"/>
  <c r="O72" i="9"/>
  <c r="P72" i="9"/>
  <c r="L72" i="9"/>
  <c r="M72" i="9"/>
  <c r="I72" i="9"/>
  <c r="J72" i="9"/>
  <c r="F72" i="9"/>
  <c r="G72" i="9"/>
  <c r="D72" i="9"/>
  <c r="AK68" i="9"/>
  <c r="AH68" i="9"/>
  <c r="AE68" i="9"/>
  <c r="AB68" i="9"/>
  <c r="Y68" i="9"/>
  <c r="U68" i="9"/>
  <c r="V68" i="9"/>
  <c r="R68" i="9"/>
  <c r="S68" i="9"/>
  <c r="P68" i="9"/>
  <c r="M68" i="9"/>
  <c r="J68" i="9"/>
  <c r="G68" i="9"/>
  <c r="D68" i="9"/>
  <c r="AK66" i="9"/>
  <c r="AH66" i="9"/>
  <c r="AE66" i="9"/>
  <c r="AB66" i="9"/>
  <c r="Y66" i="9"/>
  <c r="V66" i="9"/>
  <c r="S66" i="9"/>
  <c r="P66" i="9"/>
  <c r="M66" i="9"/>
  <c r="J66" i="9"/>
  <c r="G66" i="9"/>
  <c r="D66" i="9"/>
  <c r="AK64" i="9"/>
  <c r="AH64" i="9"/>
  <c r="AE64" i="9"/>
  <c r="AB64" i="9"/>
  <c r="Y64" i="9"/>
  <c r="V64" i="9"/>
  <c r="S64" i="9"/>
  <c r="P64" i="9"/>
  <c r="M64" i="9"/>
  <c r="J64" i="9"/>
  <c r="G64" i="9"/>
  <c r="D64" i="9"/>
  <c r="AK62" i="9"/>
  <c r="AH62" i="9"/>
  <c r="AE62" i="9"/>
  <c r="AB62" i="9"/>
  <c r="Y62" i="9"/>
  <c r="V62" i="9"/>
  <c r="S62" i="9"/>
  <c r="P62" i="9"/>
  <c r="M62" i="9"/>
  <c r="J62" i="9"/>
  <c r="G62" i="9"/>
  <c r="D62" i="9"/>
  <c r="AK60" i="9"/>
  <c r="AH60" i="9"/>
  <c r="AE60" i="9"/>
  <c r="AB60" i="9"/>
  <c r="Y60" i="9"/>
  <c r="V60" i="9"/>
  <c r="S60" i="9"/>
  <c r="P60" i="9"/>
  <c r="M60" i="9"/>
  <c r="J60" i="9"/>
  <c r="G60" i="9"/>
  <c r="D60" i="9"/>
  <c r="AJ59" i="9"/>
  <c r="AK58" i="9"/>
  <c r="AG59" i="9"/>
  <c r="AH58" i="9"/>
  <c r="AD59" i="9"/>
  <c r="AE58" i="9"/>
  <c r="AA59" i="9"/>
  <c r="AB58" i="9"/>
  <c r="U59" i="9"/>
  <c r="V58" i="9"/>
  <c r="R59" i="9"/>
  <c r="S58" i="9"/>
  <c r="I59" i="9"/>
  <c r="J58" i="9"/>
  <c r="F59" i="9"/>
  <c r="G58" i="9"/>
  <c r="Y58" i="9"/>
  <c r="P58" i="9"/>
  <c r="M58" i="9"/>
  <c r="D58" i="9"/>
  <c r="AK54" i="9"/>
  <c r="AH54" i="9"/>
  <c r="AE54" i="9"/>
  <c r="AB54" i="9"/>
  <c r="Y54" i="9"/>
  <c r="V54" i="9"/>
  <c r="S54" i="9"/>
  <c r="P54" i="9"/>
  <c r="M54" i="9"/>
  <c r="J54" i="9"/>
  <c r="G54" i="9"/>
  <c r="D54" i="9"/>
  <c r="AK50" i="9"/>
  <c r="AH50" i="9"/>
  <c r="AE50" i="9"/>
  <c r="AB50" i="9"/>
  <c r="Y50" i="9"/>
  <c r="V50" i="9"/>
  <c r="S50" i="9"/>
  <c r="P50" i="9"/>
  <c r="M50" i="9"/>
  <c r="J50" i="9"/>
  <c r="G50" i="9"/>
  <c r="D50" i="9"/>
  <c r="AK48" i="9"/>
  <c r="AH48" i="9"/>
  <c r="AE48" i="9"/>
  <c r="AB48" i="9"/>
  <c r="Y48" i="9"/>
  <c r="V48" i="9"/>
  <c r="S48" i="9"/>
  <c r="P48" i="9"/>
  <c r="M48" i="9"/>
  <c r="J48" i="9"/>
  <c r="G48" i="9"/>
  <c r="D48" i="9"/>
  <c r="F47" i="9"/>
  <c r="G46" i="9"/>
  <c r="AK46" i="9"/>
  <c r="AH46" i="9"/>
  <c r="AE46" i="9"/>
  <c r="AB46" i="9"/>
  <c r="Y46" i="9"/>
  <c r="V46" i="9"/>
  <c r="S46" i="9"/>
  <c r="P46" i="9"/>
  <c r="M46" i="9"/>
  <c r="J46" i="9"/>
  <c r="D46" i="9"/>
  <c r="AK44" i="9"/>
  <c r="AH44" i="9"/>
  <c r="AE44" i="9"/>
  <c r="AB44" i="9"/>
  <c r="Y44" i="9"/>
  <c r="V44" i="9"/>
  <c r="S44" i="9"/>
  <c r="P44" i="9"/>
  <c r="M44" i="9"/>
  <c r="J44" i="9"/>
  <c r="G44" i="9"/>
  <c r="D44" i="9"/>
  <c r="AK42" i="9"/>
  <c r="AH42" i="9"/>
  <c r="AE42" i="9"/>
  <c r="AB42" i="9"/>
  <c r="Y42" i="9"/>
  <c r="V42" i="9"/>
  <c r="S42" i="9"/>
  <c r="P42" i="9"/>
  <c r="M42" i="9"/>
  <c r="J42" i="9"/>
  <c r="G42" i="9"/>
  <c r="D42" i="9"/>
  <c r="F41" i="9"/>
  <c r="G40" i="9"/>
  <c r="AK40" i="9"/>
  <c r="AH40" i="9"/>
  <c r="AE40" i="9"/>
  <c r="AB40" i="9"/>
  <c r="Y40" i="9"/>
  <c r="V40" i="9"/>
  <c r="S40" i="9"/>
  <c r="P40" i="9"/>
  <c r="M40" i="9"/>
  <c r="J40" i="9"/>
  <c r="D40" i="9"/>
  <c r="AK38" i="9"/>
  <c r="AH38" i="9"/>
  <c r="AE38" i="9"/>
  <c r="AB38" i="9"/>
  <c r="Y38" i="9"/>
  <c r="V38" i="9"/>
  <c r="S38" i="9"/>
  <c r="P38" i="9"/>
  <c r="M38" i="9"/>
  <c r="J38" i="9"/>
  <c r="G38" i="9"/>
  <c r="D38" i="9"/>
  <c r="AK36" i="9"/>
  <c r="AH36" i="9"/>
  <c r="AE36" i="9"/>
  <c r="AB36" i="9"/>
  <c r="Y36" i="9"/>
  <c r="V36" i="9"/>
  <c r="S36" i="9"/>
  <c r="P36" i="9"/>
  <c r="M36" i="9"/>
  <c r="J36" i="9"/>
  <c r="G36" i="9"/>
  <c r="D36" i="9"/>
  <c r="O35" i="9"/>
  <c r="AL35" i="9"/>
  <c r="AK34" i="9"/>
  <c r="AH34" i="9"/>
  <c r="AE34" i="9"/>
  <c r="AB34" i="9"/>
  <c r="Y34" i="9"/>
  <c r="V34" i="9"/>
  <c r="S34" i="9"/>
  <c r="O33" i="9"/>
  <c r="P32" i="9"/>
  <c r="AK32" i="9"/>
  <c r="AH32" i="9"/>
  <c r="AE32" i="9"/>
  <c r="AB32" i="9"/>
  <c r="Y32" i="9"/>
  <c r="V32" i="9"/>
  <c r="S32" i="9"/>
  <c r="M32" i="9"/>
  <c r="O31" i="9"/>
  <c r="P30" i="9"/>
  <c r="F31" i="9"/>
  <c r="AL31" i="9"/>
  <c r="AK30" i="9"/>
  <c r="AH30" i="9"/>
  <c r="AE30" i="9"/>
  <c r="AB30" i="9"/>
  <c r="Y30" i="9"/>
  <c r="V30" i="9"/>
  <c r="S30" i="9"/>
  <c r="M30" i="9"/>
  <c r="AK24" i="9"/>
  <c r="AH24" i="9"/>
  <c r="AE24" i="9"/>
  <c r="AB24" i="9"/>
  <c r="Y24" i="9"/>
  <c r="V24" i="9"/>
  <c r="S24" i="9"/>
  <c r="P24" i="9"/>
  <c r="M24" i="9"/>
  <c r="J24" i="9"/>
  <c r="G24" i="9"/>
  <c r="D24" i="9"/>
  <c r="AK22" i="9"/>
  <c r="AH22" i="9"/>
  <c r="AE22" i="9"/>
  <c r="AB22" i="9"/>
  <c r="Y22" i="9"/>
  <c r="V22" i="9"/>
  <c r="S22" i="9"/>
  <c r="P22" i="9"/>
  <c r="M22" i="9"/>
  <c r="J22" i="9"/>
  <c r="G22" i="9"/>
  <c r="D22" i="9"/>
  <c r="AK20" i="9"/>
  <c r="AH20" i="9"/>
  <c r="AE20" i="9"/>
  <c r="AB20" i="9"/>
  <c r="Y20" i="9"/>
  <c r="V20" i="9"/>
  <c r="S20" i="9"/>
  <c r="P20" i="9"/>
  <c r="M20" i="9"/>
  <c r="J20" i="9"/>
  <c r="G20" i="9"/>
  <c r="D20" i="9"/>
  <c r="AK16" i="9"/>
  <c r="AH16" i="9"/>
  <c r="AE16" i="9"/>
  <c r="AB16" i="9"/>
  <c r="Y16" i="9"/>
  <c r="V16" i="9"/>
  <c r="S16" i="9"/>
  <c r="P16" i="9"/>
  <c r="M16" i="9"/>
  <c r="J16" i="9"/>
  <c r="G16" i="9"/>
  <c r="D16" i="9"/>
  <c r="AK14" i="9"/>
  <c r="AH14" i="9"/>
  <c r="AE14" i="9"/>
  <c r="AB14" i="9"/>
  <c r="Y14" i="9"/>
  <c r="V14" i="9"/>
  <c r="S14" i="9"/>
  <c r="P14" i="9"/>
  <c r="M14" i="9"/>
  <c r="J14" i="9"/>
  <c r="G14" i="9"/>
  <c r="D14" i="9"/>
  <c r="AK12" i="9"/>
  <c r="AH12" i="9"/>
  <c r="AE12" i="9"/>
  <c r="AB12" i="9"/>
  <c r="Y12" i="9"/>
  <c r="V12" i="9"/>
  <c r="S12" i="9"/>
  <c r="P12" i="9"/>
  <c r="M12" i="9"/>
  <c r="J12" i="9"/>
  <c r="G12" i="9"/>
  <c r="D12" i="9"/>
  <c r="AK10" i="9"/>
  <c r="AH10" i="9"/>
  <c r="AE10" i="9"/>
  <c r="AB10" i="9"/>
  <c r="Y10" i="9"/>
  <c r="V10" i="9"/>
  <c r="S10" i="9"/>
  <c r="P10" i="9"/>
  <c r="M10" i="9"/>
  <c r="J10" i="9"/>
  <c r="G10" i="9"/>
  <c r="D10" i="9"/>
  <c r="AK8" i="9"/>
  <c r="AH8" i="9"/>
  <c r="AE8" i="9"/>
  <c r="AB8" i="9"/>
  <c r="Y8" i="9"/>
  <c r="V8" i="9"/>
  <c r="S8" i="9"/>
  <c r="P8" i="9"/>
  <c r="M8" i="9"/>
  <c r="J8" i="9"/>
  <c r="G8" i="9"/>
  <c r="D8" i="9"/>
  <c r="AG5" i="9"/>
  <c r="AH4" i="9"/>
  <c r="AD5" i="9"/>
  <c r="AE4" i="9"/>
  <c r="AA5" i="9"/>
  <c r="AB4" i="9"/>
  <c r="X5" i="9"/>
  <c r="Y4" i="9"/>
  <c r="U5" i="9"/>
  <c r="V4" i="9"/>
  <c r="R5" i="9"/>
  <c r="S4" i="9"/>
  <c r="I5" i="9"/>
  <c r="J4" i="9"/>
  <c r="C5" i="9"/>
  <c r="D4" i="9"/>
  <c r="AK4" i="9"/>
  <c r="P4" i="9"/>
  <c r="M4" i="9"/>
  <c r="G4" i="9"/>
  <c r="AK2" i="9"/>
  <c r="AH2" i="9"/>
  <c r="AE2" i="9"/>
  <c r="AB2" i="9"/>
  <c r="Y2" i="9"/>
  <c r="V2" i="9"/>
  <c r="S2" i="9"/>
  <c r="P2" i="9"/>
  <c r="M2" i="9"/>
  <c r="J2" i="9"/>
  <c r="G2" i="9"/>
  <c r="D2" i="9"/>
  <c r="AM64" i="9"/>
  <c r="AM36" i="9"/>
  <c r="AM78" i="9"/>
  <c r="AM70" i="9"/>
  <c r="AM56" i="9"/>
  <c r="AN56" i="9"/>
  <c r="AM34" i="9"/>
  <c r="AM20" i="9"/>
  <c r="AM14" i="9"/>
  <c r="AM8" i="9"/>
  <c r="AM76" i="9"/>
  <c r="AM30" i="9"/>
  <c r="AM24" i="9"/>
  <c r="AM18" i="9"/>
  <c r="AM12" i="9"/>
  <c r="S80" i="9"/>
  <c r="P82" i="9"/>
  <c r="AH82" i="9"/>
  <c r="AL80" i="9"/>
  <c r="AL82" i="9"/>
  <c r="AM82" i="9"/>
  <c r="AN82" i="9"/>
  <c r="AL83" i="9"/>
  <c r="AL81" i="9"/>
  <c r="AL33" i="9"/>
  <c r="AM32" i="9"/>
  <c r="AL74" i="9"/>
  <c r="AM74" i="9"/>
  <c r="AL68" i="9"/>
  <c r="AM68" i="9"/>
  <c r="Y80" i="9"/>
  <c r="V82" i="9"/>
  <c r="AL5" i="9"/>
  <c r="AM4" i="9"/>
  <c r="AB80" i="9"/>
  <c r="Y82" i="9"/>
  <c r="AL72" i="9"/>
  <c r="AM72" i="9"/>
  <c r="AL59" i="9"/>
  <c r="AM58" i="9"/>
  <c r="AN58" i="9"/>
  <c r="AE80" i="9"/>
  <c r="AE82" i="9"/>
  <c r="V80" i="9"/>
  <c r="P80" i="9"/>
  <c r="AH80" i="9"/>
  <c r="AB82" i="9"/>
  <c r="S82" i="9"/>
  <c r="CZ110" i="8"/>
  <c r="CZ108" i="8"/>
  <c r="AM80" i="9"/>
  <c r="AN80" i="9"/>
  <c r="DA14" i="8"/>
  <c r="CZ9" i="8"/>
  <c r="DA110" i="8"/>
  <c r="DA108" i="8"/>
  <c r="DA100" i="8"/>
  <c r="DA96" i="8"/>
  <c r="DA94" i="8"/>
  <c r="DA90" i="8"/>
  <c r="DA88" i="8"/>
  <c r="DA86" i="8"/>
  <c r="DA80" i="8"/>
  <c r="DA74" i="8"/>
  <c r="DA72" i="8"/>
  <c r="DA66" i="8"/>
  <c r="DA64" i="8"/>
  <c r="DA62" i="8"/>
  <c r="DA60" i="8"/>
  <c r="DA56" i="8"/>
  <c r="DA54" i="8"/>
  <c r="DA52" i="8"/>
  <c r="DA36" i="8"/>
  <c r="DA34" i="8"/>
  <c r="DA20" i="8"/>
  <c r="DA12" i="8"/>
  <c r="DA8" i="8"/>
  <c r="DA6" i="8"/>
  <c r="CW111" i="8"/>
  <c r="CW110" i="8"/>
  <c r="CW109" i="8"/>
  <c r="CW108" i="8"/>
  <c r="CX62" i="8"/>
  <c r="CU62" i="8"/>
  <c r="CX110" i="8"/>
  <c r="CX108" i="8"/>
  <c r="CX104" i="8"/>
  <c r="CX100" i="8"/>
  <c r="CX96" i="8"/>
  <c r="CX94" i="8"/>
  <c r="CX90" i="8"/>
  <c r="CX88" i="8"/>
  <c r="CX86" i="8"/>
  <c r="CX80" i="8"/>
  <c r="CX74" i="8"/>
  <c r="CX72" i="8"/>
  <c r="CX66" i="8"/>
  <c r="CX64" i="8"/>
  <c r="CX60" i="8"/>
  <c r="CX56" i="8"/>
  <c r="CX54" i="8"/>
  <c r="CX52" i="8"/>
  <c r="CX36" i="8"/>
  <c r="CX34" i="8"/>
  <c r="CX20" i="8"/>
  <c r="CX12" i="8"/>
  <c r="CX10" i="8"/>
  <c r="CX8" i="8"/>
  <c r="CX6" i="8"/>
  <c r="CT81" i="8"/>
  <c r="DF81" i="8"/>
  <c r="DG80" i="8"/>
  <c r="CU60" i="8"/>
  <c r="CU56" i="8"/>
  <c r="CT9" i="8"/>
  <c r="DF9" i="8"/>
  <c r="DG8" i="8"/>
  <c r="CU110" i="8"/>
  <c r="CU108" i="8"/>
  <c r="CU104" i="8"/>
  <c r="CU100" i="8"/>
  <c r="CU96" i="8"/>
  <c r="CU94" i="8"/>
  <c r="CU90" i="8"/>
  <c r="CU88" i="8"/>
  <c r="CU86" i="8"/>
  <c r="CU80" i="8"/>
  <c r="CU74" i="8"/>
  <c r="CU72" i="8"/>
  <c r="CU66" i="8"/>
  <c r="CU64" i="8"/>
  <c r="CU54" i="8"/>
  <c r="CU52" i="8"/>
  <c r="CU36" i="8"/>
  <c r="CU34" i="8"/>
  <c r="CU20" i="8"/>
  <c r="CU12" i="8"/>
  <c r="CU8" i="8"/>
  <c r="CU6" i="8"/>
  <c r="CQ111" i="8"/>
  <c r="DF111" i="8"/>
  <c r="CQ110" i="8"/>
  <c r="CQ109" i="8"/>
  <c r="DF109" i="8"/>
  <c r="CQ108" i="8"/>
  <c r="DF108" i="8"/>
  <c r="DG108" i="8"/>
  <c r="CR110" i="8"/>
  <c r="DF110" i="8"/>
  <c r="DG110" i="8"/>
  <c r="CR108" i="8"/>
  <c r="CR104" i="8"/>
  <c r="CR100" i="8"/>
  <c r="CO100" i="8"/>
  <c r="CR96" i="8"/>
  <c r="CO96" i="8"/>
  <c r="CR54" i="8"/>
  <c r="CO54" i="8"/>
  <c r="CR52" i="8"/>
  <c r="CO52" i="8"/>
  <c r="CR94" i="8"/>
  <c r="CO94" i="8"/>
  <c r="CR90" i="8"/>
  <c r="CO90" i="8"/>
  <c r="CO88" i="8"/>
  <c r="CR88" i="8"/>
  <c r="CR86" i="8"/>
  <c r="CO86" i="8"/>
  <c r="CR80" i="8"/>
  <c r="CO78" i="8"/>
  <c r="CR74" i="8"/>
  <c r="CR72" i="8"/>
  <c r="CO72" i="8"/>
  <c r="CR66" i="8"/>
  <c r="CO66" i="8"/>
  <c r="CR64" i="8"/>
  <c r="CO64" i="8"/>
  <c r="CR62" i="8"/>
  <c r="CO62" i="8"/>
  <c r="CR36" i="8"/>
  <c r="CO36" i="8"/>
  <c r="CR34" i="8"/>
  <c r="CO34" i="8"/>
  <c r="CO26" i="8"/>
  <c r="CR20" i="8"/>
  <c r="CO20" i="8"/>
  <c r="CR12" i="8"/>
  <c r="CO12" i="8"/>
  <c r="CR10" i="8"/>
  <c r="CR8" i="8"/>
  <c r="CO8" i="8"/>
  <c r="CR6" i="8"/>
  <c r="CO6" i="8"/>
  <c r="CM7" i="8"/>
  <c r="CM8" i="8"/>
  <c r="CM10" i="8"/>
  <c r="CM11" i="8"/>
  <c r="CM12" i="8"/>
  <c r="CM13" i="8"/>
  <c r="CM14" i="8"/>
  <c r="CM15" i="8"/>
  <c r="CM16" i="8"/>
  <c r="CM17" i="8"/>
  <c r="CM18" i="8"/>
  <c r="CM19" i="8"/>
  <c r="CM20" i="8"/>
  <c r="CM21" i="8"/>
  <c r="CM22" i="8"/>
  <c r="CM23" i="8"/>
  <c r="CM24" i="8"/>
  <c r="CM25" i="8"/>
  <c r="CM26" i="8"/>
  <c r="CM27" i="8"/>
  <c r="CM28" i="8"/>
  <c r="CM29" i="8"/>
  <c r="CM30" i="8"/>
  <c r="CM31" i="8"/>
  <c r="CM32" i="8"/>
  <c r="CM33" i="8"/>
  <c r="CM34" i="8"/>
  <c r="CM35" i="8"/>
  <c r="CM36" i="8"/>
  <c r="CM37" i="8"/>
  <c r="CM38" i="8"/>
  <c r="CM39" i="8"/>
  <c r="CM40" i="8"/>
  <c r="CM41" i="8"/>
  <c r="CM42" i="8"/>
  <c r="CM43" i="8"/>
  <c r="CM44" i="8"/>
  <c r="CM45" i="8"/>
  <c r="CM46" i="8"/>
  <c r="CM47" i="8"/>
  <c r="CM48" i="8"/>
  <c r="CM49" i="8"/>
  <c r="CM50" i="8"/>
  <c r="CM51" i="8"/>
  <c r="CM52" i="8"/>
  <c r="CM53" i="8"/>
  <c r="CM54" i="8"/>
  <c r="CM55" i="8"/>
  <c r="CM56" i="8"/>
  <c r="CM57" i="8"/>
  <c r="CM58" i="8"/>
  <c r="CM59" i="8"/>
  <c r="CM60" i="8"/>
  <c r="CM61" i="8"/>
  <c r="CM62" i="8"/>
  <c r="CM63" i="8"/>
  <c r="CM64" i="8"/>
  <c r="CM65" i="8"/>
  <c r="CM66" i="8"/>
  <c r="CM67" i="8"/>
  <c r="CM68" i="8"/>
  <c r="CM69" i="8"/>
  <c r="CM70" i="8"/>
  <c r="CM71" i="8"/>
  <c r="CM72" i="8"/>
  <c r="CM73" i="8"/>
  <c r="CM74" i="8"/>
  <c r="CM75" i="8"/>
  <c r="CM76" i="8"/>
  <c r="CM77" i="8"/>
  <c r="CM78" i="8"/>
  <c r="CM79" i="8"/>
  <c r="CM80" i="8"/>
  <c r="CM82" i="8"/>
  <c r="CM83" i="8"/>
  <c r="CM84" i="8"/>
  <c r="CM85" i="8"/>
  <c r="CM86" i="8"/>
  <c r="CM87" i="8"/>
  <c r="CM88" i="8"/>
  <c r="CM89" i="8"/>
  <c r="CM90" i="8"/>
  <c r="CM91" i="8"/>
  <c r="CM92" i="8"/>
  <c r="CM93" i="8"/>
  <c r="CM94" i="8"/>
  <c r="CM95" i="8"/>
  <c r="CM96" i="8"/>
  <c r="CM97" i="8"/>
  <c r="CM98" i="8"/>
  <c r="CM99" i="8"/>
  <c r="CM101" i="8"/>
  <c r="CM103" i="8"/>
  <c r="CM104" i="8"/>
  <c r="CM105" i="8"/>
  <c r="CM106" i="8"/>
  <c r="CM107" i="8"/>
  <c r="CM6" i="8"/>
  <c r="CK110" i="8"/>
  <c r="CK108" i="8"/>
  <c r="CG110" i="8"/>
  <c r="CG109" i="8"/>
  <c r="CG108" i="8"/>
  <c r="CK104" i="8"/>
  <c r="CH104" i="8"/>
  <c r="CH76" i="8"/>
  <c r="CH10" i="8"/>
  <c r="CJ9" i="8"/>
  <c r="CK102" i="8"/>
  <c r="CK100" i="8"/>
  <c r="CK96" i="8"/>
  <c r="CK94" i="8"/>
  <c r="CK90" i="8"/>
  <c r="CK88" i="8"/>
  <c r="CK86" i="8"/>
  <c r="CK80" i="8"/>
  <c r="CK78" i="8"/>
  <c r="CK64" i="8"/>
  <c r="CK56" i="8"/>
  <c r="CK54" i="8"/>
  <c r="CK52" i="8"/>
  <c r="CK36" i="8"/>
  <c r="CK34" i="8"/>
  <c r="CK26" i="8"/>
  <c r="CK12" i="8"/>
  <c r="CK8" i="8"/>
  <c r="CK6" i="8"/>
  <c r="CH110" i="8"/>
  <c r="CH108" i="8"/>
  <c r="CH102" i="8"/>
  <c r="CH100" i="8"/>
  <c r="CH96" i="8"/>
  <c r="CH94" i="8"/>
  <c r="CH90" i="8"/>
  <c r="CH88" i="8"/>
  <c r="CH86" i="8"/>
  <c r="CH80" i="8"/>
  <c r="CH78" i="8"/>
  <c r="CH64" i="8"/>
  <c r="CH62" i="8"/>
  <c r="CH56" i="8"/>
  <c r="CH54" i="8"/>
  <c r="CH52" i="8"/>
  <c r="CH36" i="8"/>
  <c r="CH34" i="8"/>
  <c r="CH12" i="8"/>
  <c r="CH8" i="8"/>
  <c r="CH6" i="8"/>
  <c r="CD110" i="8"/>
  <c r="CD111" i="8"/>
  <c r="CD109" i="8"/>
  <c r="CD108" i="8"/>
  <c r="CB96" i="8"/>
  <c r="CE62" i="8"/>
  <c r="CD81" i="8"/>
  <c r="CD9" i="8"/>
  <c r="CE110" i="8"/>
  <c r="CE108" i="8"/>
  <c r="CE102" i="8"/>
  <c r="CE100" i="8"/>
  <c r="CE96" i="8"/>
  <c r="CE94" i="8"/>
  <c r="CE90" i="8"/>
  <c r="CE88" i="8"/>
  <c r="CE86" i="8"/>
  <c r="CE80" i="8"/>
  <c r="CE78" i="8"/>
  <c r="CE64" i="8"/>
  <c r="CE56" i="8"/>
  <c r="CE54" i="8"/>
  <c r="CE52" i="8"/>
  <c r="CE36" i="8"/>
  <c r="CE34" i="8"/>
  <c r="CE26" i="8"/>
  <c r="CE12" i="8"/>
  <c r="CE8" i="8"/>
  <c r="CE6" i="8"/>
  <c r="CA110" i="8"/>
  <c r="CA109" i="8"/>
  <c r="CA108" i="8"/>
  <c r="CA100" i="8"/>
  <c r="CB64" i="8"/>
  <c r="CB56" i="8"/>
  <c r="CB54" i="8"/>
  <c r="CB52" i="8"/>
  <c r="CB10" i="8"/>
  <c r="CA9" i="8"/>
  <c r="CB110" i="8"/>
  <c r="CB108" i="8"/>
  <c r="CB102" i="8"/>
  <c r="CB100" i="8"/>
  <c r="CB94" i="8"/>
  <c r="CB90" i="8"/>
  <c r="CB88" i="8"/>
  <c r="CB86" i="8"/>
  <c r="CB80" i="8"/>
  <c r="CB78" i="8"/>
  <c r="CB36" i="8"/>
  <c r="CB34" i="8"/>
  <c r="CB26" i="8"/>
  <c r="CB12" i="8"/>
  <c r="CB8" i="8"/>
  <c r="CB6" i="8"/>
  <c r="BY12" i="8"/>
  <c r="BV12" i="8"/>
  <c r="BV26" i="8"/>
  <c r="BV110" i="8"/>
  <c r="BV108" i="8"/>
  <c r="BV104" i="8"/>
  <c r="BY102" i="8"/>
  <c r="BY96" i="8"/>
  <c r="BV96" i="8"/>
  <c r="BY94" i="8"/>
  <c r="BV94" i="8"/>
  <c r="BY90" i="8"/>
  <c r="BV90" i="8"/>
  <c r="BY88" i="8"/>
  <c r="BV88" i="8"/>
  <c r="BY86" i="8"/>
  <c r="BV86" i="8"/>
  <c r="BY78" i="8"/>
  <c r="BV78" i="8"/>
  <c r="BY36" i="8"/>
  <c r="BV36" i="8"/>
  <c r="BY34" i="8"/>
  <c r="BV34" i="8"/>
  <c r="BY26" i="8"/>
  <c r="BY8" i="8"/>
  <c r="BY6" i="8"/>
  <c r="BV6" i="8"/>
  <c r="BX100" i="8"/>
  <c r="BY100" i="8"/>
  <c r="BX111" i="8"/>
  <c r="CM111" i="8"/>
  <c r="BX110" i="8"/>
  <c r="BX109" i="8"/>
  <c r="CM109" i="8"/>
  <c r="BX108" i="8"/>
  <c r="BX81" i="8"/>
  <c r="CM108" i="8"/>
  <c r="BY108" i="8"/>
  <c r="CM110" i="8"/>
  <c r="BY110" i="8"/>
  <c r="CM81" i="8"/>
  <c r="BY80" i="8"/>
  <c r="BU102" i="8"/>
  <c r="BU100" i="8"/>
  <c r="BU81" i="8"/>
  <c r="BV80" i="8"/>
  <c r="BV100" i="8"/>
  <c r="CM100" i="8"/>
  <c r="CM102" i="8"/>
  <c r="BV102" i="8"/>
  <c r="BU9" i="8"/>
  <c r="CM9" i="8"/>
  <c r="BV8" i="8"/>
  <c r="BT7" i="8"/>
  <c r="BT8" i="8"/>
  <c r="BT10" i="8"/>
  <c r="BT11" i="8"/>
  <c r="BT12" i="8"/>
  <c r="BT13" i="8"/>
  <c r="BT14" i="8"/>
  <c r="BT15" i="8"/>
  <c r="BT16" i="8"/>
  <c r="BT17" i="8"/>
  <c r="BT18" i="8"/>
  <c r="BT19" i="8"/>
  <c r="BT20" i="8"/>
  <c r="BT21" i="8"/>
  <c r="BT22" i="8"/>
  <c r="BT23" i="8"/>
  <c r="BT24" i="8"/>
  <c r="BT25" i="8"/>
  <c r="BT26" i="8"/>
  <c r="BT27" i="8"/>
  <c r="BT28" i="8"/>
  <c r="BT29" i="8"/>
  <c r="BT30" i="8"/>
  <c r="BT31" i="8"/>
  <c r="BT32" i="8"/>
  <c r="BT33" i="8"/>
  <c r="BT34" i="8"/>
  <c r="BT35" i="8"/>
  <c r="BT36" i="8"/>
  <c r="BT37" i="8"/>
  <c r="BT38" i="8"/>
  <c r="BT39" i="8"/>
  <c r="BT40" i="8"/>
  <c r="BT41" i="8"/>
  <c r="BT42" i="8"/>
  <c r="BT43" i="8"/>
  <c r="BT44" i="8"/>
  <c r="BT45" i="8"/>
  <c r="BT46" i="8"/>
  <c r="BT47" i="8"/>
  <c r="BT48" i="8"/>
  <c r="BT49" i="8"/>
  <c r="BT50" i="8"/>
  <c r="BT51" i="8"/>
  <c r="BT52" i="8"/>
  <c r="BT54" i="8"/>
  <c r="BT56" i="8"/>
  <c r="BT57" i="8"/>
  <c r="BT58" i="8"/>
  <c r="BT59" i="8"/>
  <c r="BT60" i="8"/>
  <c r="BT61" i="8"/>
  <c r="BT62" i="8"/>
  <c r="BT63" i="8"/>
  <c r="BT64" i="8"/>
  <c r="BT65" i="8"/>
  <c r="BT66" i="8"/>
  <c r="BT67" i="8"/>
  <c r="BT68" i="8"/>
  <c r="BT69" i="8"/>
  <c r="BT70" i="8"/>
  <c r="BT71" i="8"/>
  <c r="BT72" i="8"/>
  <c r="BT73" i="8"/>
  <c r="BT74" i="8"/>
  <c r="BT75" i="8"/>
  <c r="BT76" i="8"/>
  <c r="BT77" i="8"/>
  <c r="BT78" i="8"/>
  <c r="BT79" i="8"/>
  <c r="BT80" i="8"/>
  <c r="BT82" i="8"/>
  <c r="BT83" i="8"/>
  <c r="BT84" i="8"/>
  <c r="BT85" i="8"/>
  <c r="BT86" i="8"/>
  <c r="BT87" i="8"/>
  <c r="BT88" i="8"/>
  <c r="BT89" i="8"/>
  <c r="BT90" i="8"/>
  <c r="BT91" i="8"/>
  <c r="BT92" i="8"/>
  <c r="BT93" i="8"/>
  <c r="BT94" i="8"/>
  <c r="BT95" i="8"/>
  <c r="BT98" i="8"/>
  <c r="BT99" i="8"/>
  <c r="BT101" i="8"/>
  <c r="BT102" i="8"/>
  <c r="BT103" i="8"/>
  <c r="BT104" i="8"/>
  <c r="BT105" i="8"/>
  <c r="BT106" i="8"/>
  <c r="BT107" i="8"/>
  <c r="BT6" i="8"/>
  <c r="BQ111" i="8"/>
  <c r="BQ110" i="8"/>
  <c r="BQ109" i="8"/>
  <c r="BQ108" i="8"/>
  <c r="BN111" i="8"/>
  <c r="BN110" i="8"/>
  <c r="BN109" i="8"/>
  <c r="BN108" i="8"/>
  <c r="BQ97" i="8"/>
  <c r="BQ96" i="8"/>
  <c r="BN97" i="8"/>
  <c r="BN96" i="8"/>
  <c r="BK97" i="8"/>
  <c r="BK96" i="8"/>
  <c r="BE97" i="8"/>
  <c r="BH97" i="8"/>
  <c r="BH96" i="8"/>
  <c r="BE96" i="8"/>
  <c r="BB97" i="8"/>
  <c r="BT97" i="8"/>
  <c r="BB96" i="8"/>
  <c r="BT96" i="8"/>
  <c r="BQ81" i="8"/>
  <c r="BN81" i="8"/>
  <c r="BK81" i="8"/>
  <c r="BH81" i="8"/>
  <c r="BE81" i="8"/>
  <c r="BB81" i="8"/>
  <c r="BT81" i="8"/>
  <c r="BO60" i="8"/>
  <c r="BR26" i="8"/>
  <c r="BQ9" i="8"/>
  <c r="BR8" i="8"/>
  <c r="BN9" i="8"/>
  <c r="BO8" i="8"/>
  <c r="BK9" i="8"/>
  <c r="BH9" i="8"/>
  <c r="BI8" i="8"/>
  <c r="BE9" i="8"/>
  <c r="BB9" i="8"/>
  <c r="BC8" i="8"/>
  <c r="BR110" i="8"/>
  <c r="BR108" i="8"/>
  <c r="BR104" i="8"/>
  <c r="BR102" i="8"/>
  <c r="BR100" i="8"/>
  <c r="BR96" i="8"/>
  <c r="BR94" i="8"/>
  <c r="BR90" i="8"/>
  <c r="BR88" i="8"/>
  <c r="BR86" i="8"/>
  <c r="BR80" i="8"/>
  <c r="BR78" i="8"/>
  <c r="BR76" i="8"/>
  <c r="BR72" i="8"/>
  <c r="BR70" i="8"/>
  <c r="BR68" i="8"/>
  <c r="BR66" i="8"/>
  <c r="BR64" i="8"/>
  <c r="BR62" i="8"/>
  <c r="BR60" i="8"/>
  <c r="BR58" i="8"/>
  <c r="BR56" i="8"/>
  <c r="BR54" i="8"/>
  <c r="BR52" i="8"/>
  <c r="BR36" i="8"/>
  <c r="BR34" i="8"/>
  <c r="BR20" i="8"/>
  <c r="BR18" i="8"/>
  <c r="BR16" i="8"/>
  <c r="BR14" i="8"/>
  <c r="BR12" i="8"/>
  <c r="BR6" i="8"/>
  <c r="BO110" i="8"/>
  <c r="BO108" i="8"/>
  <c r="BO104" i="8"/>
  <c r="BO102" i="8"/>
  <c r="BO100" i="8"/>
  <c r="BO96" i="8"/>
  <c r="BO94" i="8"/>
  <c r="BO90" i="8"/>
  <c r="BO88" i="8"/>
  <c r="BO86" i="8"/>
  <c r="BO80" i="8"/>
  <c r="BO78" i="8"/>
  <c r="BO76" i="8"/>
  <c r="BO72" i="8"/>
  <c r="BO70" i="8"/>
  <c r="BO68" i="8"/>
  <c r="BO66" i="8"/>
  <c r="BO64" i="8"/>
  <c r="BO62" i="8"/>
  <c r="BO58" i="8"/>
  <c r="BO56" i="8"/>
  <c r="BO54" i="8"/>
  <c r="BO52" i="8"/>
  <c r="BO36" i="8"/>
  <c r="BO34" i="8"/>
  <c r="BO26" i="8"/>
  <c r="BO20" i="8"/>
  <c r="BO18" i="8"/>
  <c r="BO16" i="8"/>
  <c r="BO14" i="8"/>
  <c r="BO12" i="8"/>
  <c r="BO6" i="8"/>
  <c r="BB111" i="8"/>
  <c r="BT111" i="8"/>
  <c r="AY111" i="8"/>
  <c r="AV111" i="8"/>
  <c r="AS111" i="8"/>
  <c r="AP111" i="8"/>
  <c r="AM111" i="8"/>
  <c r="AJ111" i="8"/>
  <c r="AG111" i="8"/>
  <c r="AD111" i="8"/>
  <c r="BK110" i="8"/>
  <c r="BT110" i="8"/>
  <c r="BI110" i="8"/>
  <c r="BF110" i="8"/>
  <c r="BC110" i="8"/>
  <c r="AY110" i="8"/>
  <c r="AV110" i="8"/>
  <c r="AW110" i="8"/>
  <c r="AS110" i="8"/>
  <c r="AT110" i="8"/>
  <c r="AP110" i="8"/>
  <c r="AQ110" i="8"/>
  <c r="AM110" i="8"/>
  <c r="AN110" i="8"/>
  <c r="AJ110" i="8"/>
  <c r="AK110" i="8"/>
  <c r="AG110" i="8"/>
  <c r="AH110" i="8"/>
  <c r="AD110" i="8"/>
  <c r="AE110" i="8"/>
  <c r="AB110" i="8"/>
  <c r="Y110" i="8"/>
  <c r="V110" i="8"/>
  <c r="S110" i="8"/>
  <c r="P110" i="8"/>
  <c r="M110" i="8"/>
  <c r="J110" i="8"/>
  <c r="G110" i="8"/>
  <c r="D110" i="8"/>
  <c r="BK109" i="8"/>
  <c r="BB109" i="8"/>
  <c r="AY109" i="8"/>
  <c r="AV109" i="8"/>
  <c r="AS109" i="8"/>
  <c r="AP109" i="8"/>
  <c r="AM109" i="8"/>
  <c r="AJ109" i="8"/>
  <c r="AG109" i="8"/>
  <c r="AD109" i="8"/>
  <c r="BK108" i="8"/>
  <c r="BI108" i="8"/>
  <c r="BF108" i="8"/>
  <c r="AY108" i="8"/>
  <c r="AZ108" i="8"/>
  <c r="AV108" i="8"/>
  <c r="AS108" i="8"/>
  <c r="AP108" i="8"/>
  <c r="AM108" i="8"/>
  <c r="AJ108" i="8"/>
  <c r="AH108" i="8"/>
  <c r="AG108" i="8"/>
  <c r="AD108" i="8"/>
  <c r="AE108" i="8"/>
  <c r="AB108" i="8"/>
  <c r="Y108" i="8"/>
  <c r="V108" i="8"/>
  <c r="S108" i="8"/>
  <c r="P108" i="8"/>
  <c r="M108" i="8"/>
  <c r="J108" i="8"/>
  <c r="G108" i="8"/>
  <c r="D108" i="8"/>
  <c r="BL104" i="8"/>
  <c r="BI104" i="8"/>
  <c r="BF104" i="8"/>
  <c r="BC104" i="8"/>
  <c r="AZ104" i="8"/>
  <c r="AW104" i="8"/>
  <c r="BL102" i="8"/>
  <c r="BI102" i="8"/>
  <c r="BF102" i="8"/>
  <c r="BC102" i="8"/>
  <c r="AZ102" i="8"/>
  <c r="AW102" i="8"/>
  <c r="AT102" i="8"/>
  <c r="AQ102" i="8"/>
  <c r="AN102" i="8"/>
  <c r="AJ102" i="8"/>
  <c r="AK102" i="8"/>
  <c r="AG102" i="8"/>
  <c r="AH102" i="8"/>
  <c r="AD102" i="8"/>
  <c r="AE102" i="8"/>
  <c r="AA102" i="8"/>
  <c r="AB102" i="8"/>
  <c r="X102" i="8"/>
  <c r="Y102" i="8"/>
  <c r="V102" i="8"/>
  <c r="S102" i="8"/>
  <c r="O102" i="8"/>
  <c r="P102" i="8"/>
  <c r="L102" i="8"/>
  <c r="M102" i="8"/>
  <c r="J102" i="8"/>
  <c r="G102" i="8"/>
  <c r="D102" i="8"/>
  <c r="BL100" i="8"/>
  <c r="BI100" i="8"/>
  <c r="BE100" i="8"/>
  <c r="BC100" i="8"/>
  <c r="AY100" i="8"/>
  <c r="AZ100" i="8"/>
  <c r="AV100" i="8"/>
  <c r="AW100" i="8"/>
  <c r="AT100" i="8"/>
  <c r="AQ100" i="8"/>
  <c r="AN100" i="8"/>
  <c r="AJ100" i="8"/>
  <c r="AK100" i="8"/>
  <c r="AG100" i="8"/>
  <c r="AH100" i="8"/>
  <c r="AD100" i="8"/>
  <c r="AE100" i="8"/>
  <c r="AA100" i="8"/>
  <c r="AB100" i="8"/>
  <c r="X100" i="8"/>
  <c r="Y100" i="8"/>
  <c r="U100" i="8"/>
  <c r="V100" i="8"/>
  <c r="S100" i="8"/>
  <c r="O100" i="8"/>
  <c r="P100" i="8"/>
  <c r="L100" i="8"/>
  <c r="M100" i="8"/>
  <c r="J100" i="8"/>
  <c r="G100" i="8"/>
  <c r="C100" i="8"/>
  <c r="D100" i="8"/>
  <c r="M98" i="8"/>
  <c r="J98" i="8"/>
  <c r="G98" i="8"/>
  <c r="C98" i="8"/>
  <c r="D98" i="8"/>
  <c r="BL96" i="8"/>
  <c r="BI96" i="8"/>
  <c r="BF96" i="8"/>
  <c r="BC96" i="8"/>
  <c r="AZ96" i="8"/>
  <c r="AW96" i="8"/>
  <c r="AT96" i="8"/>
  <c r="AQ96" i="8"/>
  <c r="AN96" i="8"/>
  <c r="AJ96" i="8"/>
  <c r="AK96" i="8"/>
  <c r="AG96" i="8"/>
  <c r="AH96" i="8"/>
  <c r="AE96" i="8"/>
  <c r="AB96" i="8"/>
  <c r="Y96" i="8"/>
  <c r="V96" i="8"/>
  <c r="S96" i="8"/>
  <c r="P96" i="8"/>
  <c r="M96" i="8"/>
  <c r="J96" i="8"/>
  <c r="G96" i="8"/>
  <c r="D96" i="8"/>
  <c r="BL94" i="8"/>
  <c r="BI94" i="8"/>
  <c r="BF94" i="8"/>
  <c r="BC94" i="8"/>
  <c r="AZ94" i="8"/>
  <c r="AW94" i="8"/>
  <c r="AT94" i="8"/>
  <c r="AQ94" i="8"/>
  <c r="AN94" i="8"/>
  <c r="AK94" i="8"/>
  <c r="AH94" i="8"/>
  <c r="AE94" i="8"/>
  <c r="AB94" i="8"/>
  <c r="Y94" i="8"/>
  <c r="V94" i="8"/>
  <c r="S94" i="8"/>
  <c r="P94" i="8"/>
  <c r="M94" i="8"/>
  <c r="J94" i="8"/>
  <c r="G94" i="8"/>
  <c r="D94" i="8"/>
  <c r="AK92" i="8"/>
  <c r="AH92" i="8"/>
  <c r="AE92" i="8"/>
  <c r="AB92" i="8"/>
  <c r="Y92" i="8"/>
  <c r="V92" i="8"/>
  <c r="S92" i="8"/>
  <c r="P92" i="8"/>
  <c r="M92" i="8"/>
  <c r="J92" i="8"/>
  <c r="G92" i="8"/>
  <c r="D92" i="8"/>
  <c r="BL90" i="8"/>
  <c r="BI90" i="8"/>
  <c r="BF90" i="8"/>
  <c r="BC90" i="8"/>
  <c r="AZ90" i="8"/>
  <c r="AW90" i="8"/>
  <c r="AT90" i="8"/>
  <c r="AQ90" i="8"/>
  <c r="AN90" i="8"/>
  <c r="AK90" i="8"/>
  <c r="AH90" i="8"/>
  <c r="AE90" i="8"/>
  <c r="AB90" i="8"/>
  <c r="Y90" i="8"/>
  <c r="V90" i="8"/>
  <c r="S90" i="8"/>
  <c r="P90" i="8"/>
  <c r="M90" i="8"/>
  <c r="J90" i="8"/>
  <c r="G90" i="8"/>
  <c r="D90" i="8"/>
  <c r="BL88" i="8"/>
  <c r="BI88" i="8"/>
  <c r="BF88" i="8"/>
  <c r="BC88" i="8"/>
  <c r="AZ88" i="8"/>
  <c r="AW88" i="8"/>
  <c r="AT88" i="8"/>
  <c r="AQ88" i="8"/>
  <c r="AN88" i="8"/>
  <c r="AK88" i="8"/>
  <c r="AH88" i="8"/>
  <c r="AE88" i="8"/>
  <c r="AB88" i="8"/>
  <c r="Y88" i="8"/>
  <c r="V88" i="8"/>
  <c r="S88" i="8"/>
  <c r="P88" i="8"/>
  <c r="M88" i="8"/>
  <c r="J88" i="8"/>
  <c r="G88" i="8"/>
  <c r="D88" i="8"/>
  <c r="BL86" i="8"/>
  <c r="BI86" i="8"/>
  <c r="BF86" i="8"/>
  <c r="BC86" i="8"/>
  <c r="AZ86" i="8"/>
  <c r="AW86" i="8"/>
  <c r="AT86" i="8"/>
  <c r="AQ86" i="8"/>
  <c r="AN86" i="8"/>
  <c r="AK86" i="8"/>
  <c r="AH86" i="8"/>
  <c r="AE86" i="8"/>
  <c r="AB86" i="8"/>
  <c r="Y86" i="8"/>
  <c r="V86" i="8"/>
  <c r="S86" i="8"/>
  <c r="P86" i="8"/>
  <c r="M86" i="8"/>
  <c r="J86" i="8"/>
  <c r="G86" i="8"/>
  <c r="D86" i="8"/>
  <c r="AY81" i="8"/>
  <c r="AZ80" i="8"/>
  <c r="AV81" i="8"/>
  <c r="AW80" i="8"/>
  <c r="AS81" i="8"/>
  <c r="AP81" i="8"/>
  <c r="AJ81" i="8"/>
  <c r="AK80" i="8"/>
  <c r="AG81" i="8"/>
  <c r="AH80" i="8"/>
  <c r="X81" i="8"/>
  <c r="Y80" i="8"/>
  <c r="U81" i="8"/>
  <c r="L81" i="8"/>
  <c r="M80" i="8"/>
  <c r="F81" i="8"/>
  <c r="G80" i="8"/>
  <c r="BL80" i="8"/>
  <c r="BI80" i="8"/>
  <c r="BF80" i="8"/>
  <c r="BC80" i="8"/>
  <c r="AT80" i="8"/>
  <c r="AQ80" i="8"/>
  <c r="AN80" i="8"/>
  <c r="AE80" i="8"/>
  <c r="AB80" i="8"/>
  <c r="V80" i="8"/>
  <c r="S80" i="8"/>
  <c r="P80" i="8"/>
  <c r="J80" i="8"/>
  <c r="D80" i="8"/>
  <c r="BL78" i="8"/>
  <c r="BI78" i="8"/>
  <c r="BF78" i="8"/>
  <c r="BC78" i="8"/>
  <c r="AZ78" i="8"/>
  <c r="AW78" i="8"/>
  <c r="AT78" i="8"/>
  <c r="AQ78" i="8"/>
  <c r="AN78" i="8"/>
  <c r="AK78" i="8"/>
  <c r="AH78" i="8"/>
  <c r="AE78" i="8"/>
  <c r="AB78" i="8"/>
  <c r="Y78" i="8"/>
  <c r="V78" i="8"/>
  <c r="S78" i="8"/>
  <c r="P78" i="8"/>
  <c r="M78" i="8"/>
  <c r="J78" i="8"/>
  <c r="G78" i="8"/>
  <c r="D78" i="8"/>
  <c r="BL76" i="8"/>
  <c r="BI76" i="8"/>
  <c r="BF76" i="8"/>
  <c r="BC76" i="8"/>
  <c r="AZ76" i="8"/>
  <c r="AW76" i="8"/>
  <c r="AT76" i="8"/>
  <c r="AQ76" i="8"/>
  <c r="AN76" i="8"/>
  <c r="AK76" i="8"/>
  <c r="AH76" i="8"/>
  <c r="AE76" i="8"/>
  <c r="AB76" i="8"/>
  <c r="Y76" i="8"/>
  <c r="V76" i="8"/>
  <c r="S76" i="8"/>
  <c r="P76" i="8"/>
  <c r="M76" i="8"/>
  <c r="J76" i="8"/>
  <c r="G76" i="8"/>
  <c r="D76" i="8"/>
  <c r="BL72" i="8"/>
  <c r="BI72" i="8"/>
  <c r="BF72" i="8"/>
  <c r="BC72" i="8"/>
  <c r="AZ72" i="8"/>
  <c r="AW72" i="8"/>
  <c r="AT72" i="8"/>
  <c r="AQ72" i="8"/>
  <c r="AN72" i="8"/>
  <c r="AK72" i="8"/>
  <c r="AH72" i="8"/>
  <c r="AE72" i="8"/>
  <c r="AB72" i="8"/>
  <c r="Y72" i="8"/>
  <c r="V72" i="8"/>
  <c r="S72" i="8"/>
  <c r="P72" i="8"/>
  <c r="M72" i="8"/>
  <c r="J72" i="8"/>
  <c r="G72" i="8"/>
  <c r="D72" i="8"/>
  <c r="BL70" i="8"/>
  <c r="BI70" i="8"/>
  <c r="BF70" i="8"/>
  <c r="BC70" i="8"/>
  <c r="AZ70" i="8"/>
  <c r="AW70" i="8"/>
  <c r="AT70" i="8"/>
  <c r="AQ70" i="8"/>
  <c r="AN70" i="8"/>
  <c r="AK70" i="8"/>
  <c r="AH70" i="8"/>
  <c r="AE70" i="8"/>
  <c r="AB70" i="8"/>
  <c r="Y70" i="8"/>
  <c r="V70" i="8"/>
  <c r="S70" i="8"/>
  <c r="P70" i="8"/>
  <c r="M70" i="8"/>
  <c r="J70" i="8"/>
  <c r="G70" i="8"/>
  <c r="D70" i="8"/>
  <c r="U69" i="8"/>
  <c r="F69" i="8"/>
  <c r="G68" i="8"/>
  <c r="C69" i="8"/>
  <c r="BL68" i="8"/>
  <c r="BI68" i="8"/>
  <c r="BF68" i="8"/>
  <c r="BC68" i="8"/>
  <c r="AZ68" i="8"/>
  <c r="AW68" i="8"/>
  <c r="AT68" i="8"/>
  <c r="AQ68" i="8"/>
  <c r="AN68" i="8"/>
  <c r="AK68" i="8"/>
  <c r="AH68" i="8"/>
  <c r="AE68" i="8"/>
  <c r="AB68" i="8"/>
  <c r="Y68" i="8"/>
  <c r="V68" i="8"/>
  <c r="S68" i="8"/>
  <c r="P68" i="8"/>
  <c r="M68" i="8"/>
  <c r="J68" i="8"/>
  <c r="D68" i="8"/>
  <c r="BL66" i="8"/>
  <c r="BI66" i="8"/>
  <c r="BF66" i="8"/>
  <c r="BC66" i="8"/>
  <c r="AZ66" i="8"/>
  <c r="AW66" i="8"/>
  <c r="AT66" i="8"/>
  <c r="AQ66" i="8"/>
  <c r="AN66" i="8"/>
  <c r="AK66" i="8"/>
  <c r="AH66" i="8"/>
  <c r="AE66" i="8"/>
  <c r="AB66" i="8"/>
  <c r="Y66" i="8"/>
  <c r="V66" i="8"/>
  <c r="S66" i="8"/>
  <c r="P66" i="8"/>
  <c r="M66" i="8"/>
  <c r="J66" i="8"/>
  <c r="G66" i="8"/>
  <c r="D66" i="8"/>
  <c r="BL64" i="8"/>
  <c r="BI64" i="8"/>
  <c r="BF64" i="8"/>
  <c r="BC64" i="8"/>
  <c r="AZ64" i="8"/>
  <c r="AW64" i="8"/>
  <c r="AT64" i="8"/>
  <c r="AQ64" i="8"/>
  <c r="AN64" i="8"/>
  <c r="AK64" i="8"/>
  <c r="AH64" i="8"/>
  <c r="AE64" i="8"/>
  <c r="AB64" i="8"/>
  <c r="Y64" i="8"/>
  <c r="V64" i="8"/>
  <c r="S64" i="8"/>
  <c r="P64" i="8"/>
  <c r="M64" i="8"/>
  <c r="J64" i="8"/>
  <c r="G64" i="8"/>
  <c r="D64" i="8"/>
  <c r="U63" i="8"/>
  <c r="V62" i="8"/>
  <c r="BL62" i="8"/>
  <c r="BI62" i="8"/>
  <c r="BF62" i="8"/>
  <c r="BC62" i="8"/>
  <c r="AZ62" i="8"/>
  <c r="AW62" i="8"/>
  <c r="AT62" i="8"/>
  <c r="AQ62" i="8"/>
  <c r="AN62" i="8"/>
  <c r="AK62" i="8"/>
  <c r="AH62" i="8"/>
  <c r="AE62" i="8"/>
  <c r="AB62" i="8"/>
  <c r="Y62" i="8"/>
  <c r="S62" i="8"/>
  <c r="P62" i="8"/>
  <c r="M62" i="8"/>
  <c r="J62" i="8"/>
  <c r="G62" i="8"/>
  <c r="D62" i="8"/>
  <c r="BL60" i="8"/>
  <c r="BI60" i="8"/>
  <c r="BF60" i="8"/>
  <c r="BC60" i="8"/>
  <c r="AZ60" i="8"/>
  <c r="AW60" i="8"/>
  <c r="AT60" i="8"/>
  <c r="AQ60" i="8"/>
  <c r="AN60" i="8"/>
  <c r="AK60" i="8"/>
  <c r="AH60" i="8"/>
  <c r="AE60" i="8"/>
  <c r="AB60" i="8"/>
  <c r="Y60" i="8"/>
  <c r="V60" i="8"/>
  <c r="S60" i="8"/>
  <c r="P60" i="8"/>
  <c r="M60" i="8"/>
  <c r="J60" i="8"/>
  <c r="G60" i="8"/>
  <c r="D60" i="8"/>
  <c r="BL58" i="8"/>
  <c r="BI58" i="8"/>
  <c r="BF58" i="8"/>
  <c r="BC58" i="8"/>
  <c r="AZ58" i="8"/>
  <c r="AW58" i="8"/>
  <c r="AT58" i="8"/>
  <c r="AQ58" i="8"/>
  <c r="AN58" i="8"/>
  <c r="AK58" i="8"/>
  <c r="AH58" i="8"/>
  <c r="AE58" i="8"/>
  <c r="AB58" i="8"/>
  <c r="Y58" i="8"/>
  <c r="V58" i="8"/>
  <c r="S58" i="8"/>
  <c r="P58" i="8"/>
  <c r="M58" i="8"/>
  <c r="J58" i="8"/>
  <c r="G58" i="8"/>
  <c r="D58" i="8"/>
  <c r="AD57" i="8"/>
  <c r="BL56" i="8"/>
  <c r="BI56" i="8"/>
  <c r="BF56" i="8"/>
  <c r="BC56" i="8"/>
  <c r="AZ56" i="8"/>
  <c r="AW56" i="8"/>
  <c r="AT56" i="8"/>
  <c r="AQ56" i="8"/>
  <c r="AN56" i="8"/>
  <c r="AK56" i="8"/>
  <c r="AH56" i="8"/>
  <c r="BE55" i="8"/>
  <c r="BF54" i="8"/>
  <c r="BB55" i="8"/>
  <c r="BC54" i="8"/>
  <c r="AD55" i="8"/>
  <c r="AE54" i="8"/>
  <c r="BL54" i="8"/>
  <c r="BI54" i="8"/>
  <c r="AZ54" i="8"/>
  <c r="AW54" i="8"/>
  <c r="AT54" i="8"/>
  <c r="AQ54" i="8"/>
  <c r="AN54" i="8"/>
  <c r="AK54" i="8"/>
  <c r="AH54" i="8"/>
  <c r="AB54" i="8"/>
  <c r="BE53" i="8"/>
  <c r="BB53" i="8"/>
  <c r="BT53" i="8"/>
  <c r="AD53" i="8"/>
  <c r="U53" i="8"/>
  <c r="BL52" i="8"/>
  <c r="BI52" i="8"/>
  <c r="BF52" i="8"/>
  <c r="AZ52" i="8"/>
  <c r="AW52" i="8"/>
  <c r="AT52" i="8"/>
  <c r="AQ52" i="8"/>
  <c r="AN52" i="8"/>
  <c r="AK52" i="8"/>
  <c r="AH52" i="8"/>
  <c r="AE52" i="8"/>
  <c r="AB52" i="8"/>
  <c r="J52" i="8"/>
  <c r="F37" i="8"/>
  <c r="G36" i="8"/>
  <c r="BL36" i="8"/>
  <c r="BI36" i="8"/>
  <c r="BF36" i="8"/>
  <c r="BC36" i="8"/>
  <c r="AZ36" i="8"/>
  <c r="AW36" i="8"/>
  <c r="AT36" i="8"/>
  <c r="AQ36" i="8"/>
  <c r="AN36" i="8"/>
  <c r="AK36" i="8"/>
  <c r="AH36" i="8"/>
  <c r="AE36" i="8"/>
  <c r="AB36" i="8"/>
  <c r="Y36" i="8"/>
  <c r="V36" i="8"/>
  <c r="S36" i="8"/>
  <c r="P36" i="8"/>
  <c r="M36" i="8"/>
  <c r="J36" i="8"/>
  <c r="D36" i="8"/>
  <c r="F35" i="8"/>
  <c r="G34" i="8"/>
  <c r="BL34" i="8"/>
  <c r="BI34" i="8"/>
  <c r="BF34" i="8"/>
  <c r="BC34" i="8"/>
  <c r="AZ34" i="8"/>
  <c r="AW34" i="8"/>
  <c r="AT34" i="8"/>
  <c r="AQ34" i="8"/>
  <c r="AN34" i="8"/>
  <c r="AK34" i="8"/>
  <c r="AH34" i="8"/>
  <c r="AE34" i="8"/>
  <c r="AB34" i="8"/>
  <c r="Y34" i="8"/>
  <c r="V34" i="8"/>
  <c r="S34" i="8"/>
  <c r="P34" i="8"/>
  <c r="M34" i="8"/>
  <c r="J34" i="8"/>
  <c r="D34" i="8"/>
  <c r="BL26" i="8"/>
  <c r="BI26" i="8"/>
  <c r="BF26" i="8"/>
  <c r="BC26" i="8"/>
  <c r="AZ26" i="8"/>
  <c r="AW26" i="8"/>
  <c r="AT26" i="8"/>
  <c r="AQ26" i="8"/>
  <c r="AN26" i="8"/>
  <c r="AK26" i="8"/>
  <c r="AH26" i="8"/>
  <c r="AE26" i="8"/>
  <c r="AB26" i="8"/>
  <c r="Y26" i="8"/>
  <c r="V26" i="8"/>
  <c r="S26" i="8"/>
  <c r="P26" i="8"/>
  <c r="G26" i="8"/>
  <c r="D26" i="8"/>
  <c r="C25" i="8"/>
  <c r="D24" i="8"/>
  <c r="BL20" i="8"/>
  <c r="BI20" i="8"/>
  <c r="BF20" i="8"/>
  <c r="BC20" i="8"/>
  <c r="AZ20" i="8"/>
  <c r="AW20" i="8"/>
  <c r="AT20" i="8"/>
  <c r="AQ20" i="8"/>
  <c r="AN20" i="8"/>
  <c r="AK20" i="8"/>
  <c r="AH20" i="8"/>
  <c r="AE20" i="8"/>
  <c r="AB20" i="8"/>
  <c r="Y20" i="8"/>
  <c r="V20" i="8"/>
  <c r="S20" i="8"/>
  <c r="P20" i="8"/>
  <c r="M20" i="8"/>
  <c r="J20" i="8"/>
  <c r="F20" i="8"/>
  <c r="G20" i="8"/>
  <c r="D20" i="8"/>
  <c r="BL18" i="8"/>
  <c r="BI18" i="8"/>
  <c r="BF18" i="8"/>
  <c r="BC18" i="8"/>
  <c r="AZ18" i="8"/>
  <c r="AW18" i="8"/>
  <c r="AT18" i="8"/>
  <c r="AQ18" i="8"/>
  <c r="AN18" i="8"/>
  <c r="AK18" i="8"/>
  <c r="AH18" i="8"/>
  <c r="AE18" i="8"/>
  <c r="AB18" i="8"/>
  <c r="Y18" i="8"/>
  <c r="V18" i="8"/>
  <c r="S18" i="8"/>
  <c r="P18" i="8"/>
  <c r="M18" i="8"/>
  <c r="J18" i="8"/>
  <c r="G18" i="8"/>
  <c r="D18" i="8"/>
  <c r="BL16" i="8"/>
  <c r="BI16" i="8"/>
  <c r="BF16" i="8"/>
  <c r="BC16" i="8"/>
  <c r="AZ16" i="8"/>
  <c r="AW16" i="8"/>
  <c r="AT16" i="8"/>
  <c r="AQ16" i="8"/>
  <c r="AN16" i="8"/>
  <c r="AK16" i="8"/>
  <c r="AH16" i="8"/>
  <c r="AE16" i="8"/>
  <c r="AB16" i="8"/>
  <c r="Y16" i="8"/>
  <c r="V16" i="8"/>
  <c r="S16" i="8"/>
  <c r="P16" i="8"/>
  <c r="M16" i="8"/>
  <c r="J16" i="8"/>
  <c r="G16" i="8"/>
  <c r="D16" i="8"/>
  <c r="BL14" i="8"/>
  <c r="BI14" i="8"/>
  <c r="BF14" i="8"/>
  <c r="BC14" i="8"/>
  <c r="AZ14" i="8"/>
  <c r="AW14" i="8"/>
  <c r="AT14" i="8"/>
  <c r="AQ14" i="8"/>
  <c r="AN14" i="8"/>
  <c r="AK14" i="8"/>
  <c r="AH14" i="8"/>
  <c r="AE14" i="8"/>
  <c r="AB14" i="8"/>
  <c r="Y14" i="8"/>
  <c r="V14" i="8"/>
  <c r="S14" i="8"/>
  <c r="P14" i="8"/>
  <c r="M14" i="8"/>
  <c r="J14" i="8"/>
  <c r="G14" i="8"/>
  <c r="D14" i="8"/>
  <c r="BL12" i="8"/>
  <c r="BI12" i="8"/>
  <c r="BF12" i="8"/>
  <c r="BC12" i="8"/>
  <c r="AZ12" i="8"/>
  <c r="AW12" i="8"/>
  <c r="AT12" i="8"/>
  <c r="AQ12" i="8"/>
  <c r="AN12" i="8"/>
  <c r="AK12" i="8"/>
  <c r="AH12" i="8"/>
  <c r="AE12" i="8"/>
  <c r="AB12" i="8"/>
  <c r="Y12" i="8"/>
  <c r="V12" i="8"/>
  <c r="S12" i="8"/>
  <c r="P12" i="8"/>
  <c r="M12" i="8"/>
  <c r="J12" i="8"/>
  <c r="G12" i="8"/>
  <c r="D12" i="8"/>
  <c r="D10" i="8"/>
  <c r="AV9" i="8"/>
  <c r="AW8" i="8"/>
  <c r="AS9" i="8"/>
  <c r="AT8" i="8"/>
  <c r="AP9" i="8"/>
  <c r="AQ8" i="8"/>
  <c r="AM9" i="8"/>
  <c r="AJ9" i="8"/>
  <c r="AK8" i="8"/>
  <c r="AG9" i="8"/>
  <c r="AH8" i="8"/>
  <c r="X9" i="8"/>
  <c r="Y8" i="8"/>
  <c r="R9" i="8"/>
  <c r="L9" i="8"/>
  <c r="M8" i="8"/>
  <c r="F9" i="8"/>
  <c r="G8" i="8"/>
  <c r="BL8" i="8"/>
  <c r="BF8" i="8"/>
  <c r="AZ8" i="8"/>
  <c r="AN8" i="8"/>
  <c r="AE8" i="8"/>
  <c r="AB8" i="8"/>
  <c r="V8" i="8"/>
  <c r="S8" i="8"/>
  <c r="P8" i="8"/>
  <c r="J8" i="8"/>
  <c r="D8" i="8"/>
  <c r="BL6" i="8"/>
  <c r="BI6" i="8"/>
  <c r="BF6" i="8"/>
  <c r="BC6" i="8"/>
  <c r="AZ6" i="8"/>
  <c r="AW6" i="8"/>
  <c r="AT6" i="8"/>
  <c r="AQ6" i="8"/>
  <c r="AN6" i="8"/>
  <c r="AK6" i="8"/>
  <c r="AH6" i="8"/>
  <c r="AE6" i="8"/>
  <c r="AB6" i="8"/>
  <c r="Y6" i="8"/>
  <c r="V6" i="8"/>
  <c r="S6" i="8"/>
  <c r="P6" i="8"/>
  <c r="M6" i="8"/>
  <c r="J6" i="8"/>
  <c r="G6" i="8"/>
  <c r="D6" i="8"/>
  <c r="BC52" i="8"/>
  <c r="AK108" i="8"/>
  <c r="AN108" i="8"/>
  <c r="AQ108" i="8"/>
  <c r="AT108" i="8"/>
  <c r="AW108" i="8"/>
  <c r="BL108" i="8"/>
  <c r="BT108" i="8"/>
  <c r="BL110" i="8"/>
  <c r="BT55" i="8"/>
  <c r="BC108" i="8"/>
  <c r="BT109" i="8"/>
  <c r="AZ110" i="8"/>
  <c r="BF100" i="8"/>
  <c r="BT100" i="8"/>
  <c r="BT9" i="8"/>
  <c r="BC95" i="3"/>
  <c r="BC94" i="3"/>
  <c r="BD94" i="3"/>
  <c r="BC91" i="3"/>
  <c r="BC90" i="3"/>
  <c r="BD90" i="3"/>
  <c r="BC89" i="3"/>
  <c r="BC88" i="3"/>
  <c r="BD88" i="3"/>
  <c r="BC87" i="3"/>
  <c r="BC86" i="3"/>
  <c r="BD86" i="3"/>
  <c r="BA95" i="3"/>
  <c r="BE95" i="3"/>
  <c r="BA94" i="3"/>
  <c r="BE94" i="3"/>
  <c r="BF94" i="3"/>
  <c r="BA91" i="3"/>
  <c r="BE91" i="3"/>
  <c r="BA90" i="3"/>
  <c r="BE90" i="3"/>
  <c r="BA89" i="3"/>
  <c r="BE89" i="3"/>
  <c r="BA88" i="3"/>
  <c r="BE88" i="3"/>
  <c r="BF88" i="3"/>
  <c r="BA87" i="3"/>
  <c r="BE87" i="3"/>
  <c r="BA86" i="3"/>
  <c r="BE86" i="3"/>
  <c r="BF86" i="3"/>
  <c r="BF90" i="3"/>
  <c r="BB94" i="3"/>
  <c r="BB86" i="3"/>
  <c r="BB88" i="3"/>
  <c r="AV111" i="3"/>
  <c r="AS111" i="3"/>
  <c r="AP111" i="3"/>
  <c r="AM111" i="3"/>
  <c r="AJ111" i="3"/>
  <c r="AG111" i="3"/>
  <c r="AD111" i="3"/>
  <c r="AZ110" i="3"/>
  <c r="AV110" i="3"/>
  <c r="AW110" i="3"/>
  <c r="AS110" i="3"/>
  <c r="AT110" i="3"/>
  <c r="AP110" i="3"/>
  <c r="AQ110" i="3"/>
  <c r="AM110" i="3"/>
  <c r="AN110" i="3"/>
  <c r="AJ110" i="3"/>
  <c r="AG110" i="3"/>
  <c r="AD110" i="3"/>
  <c r="AE110" i="3"/>
  <c r="AB110" i="3"/>
  <c r="Y110" i="3"/>
  <c r="V110" i="3"/>
  <c r="S110" i="3"/>
  <c r="P110" i="3"/>
  <c r="M110" i="3"/>
  <c r="J110" i="3"/>
  <c r="G110" i="3"/>
  <c r="D110" i="3"/>
  <c r="AV109" i="3"/>
  <c r="AS109" i="3"/>
  <c r="AP109" i="3"/>
  <c r="AM109" i="3"/>
  <c r="AJ109" i="3"/>
  <c r="AG109" i="3"/>
  <c r="AD109" i="3"/>
  <c r="AZ108" i="3"/>
  <c r="AV108" i="3"/>
  <c r="AS108" i="3"/>
  <c r="AT108" i="3"/>
  <c r="AP108" i="3"/>
  <c r="AQ108" i="3"/>
  <c r="AM108" i="3"/>
  <c r="AN108" i="3"/>
  <c r="AJ108" i="3"/>
  <c r="AG108" i="3"/>
  <c r="AD108" i="3"/>
  <c r="AE108" i="3"/>
  <c r="AB108" i="3"/>
  <c r="Y108" i="3"/>
  <c r="V108" i="3"/>
  <c r="S108" i="3"/>
  <c r="P108" i="3"/>
  <c r="M108" i="3"/>
  <c r="J108" i="3"/>
  <c r="G108" i="3"/>
  <c r="D108" i="3"/>
  <c r="AZ104" i="3"/>
  <c r="AW104" i="3"/>
  <c r="AZ102" i="3"/>
  <c r="AW102" i="3"/>
  <c r="AT102" i="3"/>
  <c r="AQ102" i="3"/>
  <c r="AN102" i="3"/>
  <c r="AJ102" i="3"/>
  <c r="AK102" i="3"/>
  <c r="AG102" i="3"/>
  <c r="AH102" i="3"/>
  <c r="AD102" i="3"/>
  <c r="AE102" i="3"/>
  <c r="AA102" i="3"/>
  <c r="AB102" i="3"/>
  <c r="X102" i="3"/>
  <c r="Y102" i="3"/>
  <c r="V102" i="3"/>
  <c r="S102" i="3"/>
  <c r="O102" i="3"/>
  <c r="P102" i="3"/>
  <c r="L102" i="3"/>
  <c r="M102" i="3"/>
  <c r="J102" i="3"/>
  <c r="G102" i="3"/>
  <c r="D102" i="3"/>
  <c r="AY100" i="3"/>
  <c r="AZ100" i="3"/>
  <c r="AV100" i="3"/>
  <c r="AW100" i="3"/>
  <c r="AT100" i="3"/>
  <c r="AQ100" i="3"/>
  <c r="AN100" i="3"/>
  <c r="AJ100" i="3"/>
  <c r="AK100" i="3"/>
  <c r="AG100" i="3"/>
  <c r="AH100" i="3"/>
  <c r="AD100" i="3"/>
  <c r="AE100" i="3"/>
  <c r="AA100" i="3"/>
  <c r="AB100" i="3"/>
  <c r="X100" i="3"/>
  <c r="Y100" i="3"/>
  <c r="U100" i="3"/>
  <c r="V100" i="3"/>
  <c r="S100" i="3"/>
  <c r="O100" i="3"/>
  <c r="P100" i="3"/>
  <c r="L100" i="3"/>
  <c r="M100" i="3"/>
  <c r="J100" i="3"/>
  <c r="G100" i="3"/>
  <c r="C100" i="3"/>
  <c r="D100" i="3"/>
  <c r="M98" i="3"/>
  <c r="J98" i="3"/>
  <c r="G98" i="3"/>
  <c r="C98" i="3"/>
  <c r="D98" i="3"/>
  <c r="AZ96" i="3"/>
  <c r="AW96" i="3"/>
  <c r="AT96" i="3"/>
  <c r="AQ96" i="3"/>
  <c r="AN96" i="3"/>
  <c r="AJ96" i="3"/>
  <c r="AK96" i="3"/>
  <c r="AG96" i="3"/>
  <c r="AH96" i="3"/>
  <c r="AE96" i="3"/>
  <c r="AB96" i="3"/>
  <c r="Y96" i="3"/>
  <c r="V96" i="3"/>
  <c r="S96" i="3"/>
  <c r="P96" i="3"/>
  <c r="M96" i="3"/>
  <c r="J96" i="3"/>
  <c r="G96" i="3"/>
  <c r="D96" i="3"/>
  <c r="AZ94" i="3"/>
  <c r="AW94" i="3"/>
  <c r="AT94" i="3"/>
  <c r="AQ94" i="3"/>
  <c r="AN94" i="3"/>
  <c r="AK94" i="3"/>
  <c r="AH94" i="3"/>
  <c r="AE94" i="3"/>
  <c r="AB94" i="3"/>
  <c r="Y94" i="3"/>
  <c r="V94" i="3"/>
  <c r="S94" i="3"/>
  <c r="P94" i="3"/>
  <c r="M94" i="3"/>
  <c r="J94" i="3"/>
  <c r="G94" i="3"/>
  <c r="D94" i="3"/>
  <c r="AK92" i="3"/>
  <c r="AH92" i="3"/>
  <c r="AE92" i="3"/>
  <c r="AB92" i="3"/>
  <c r="Y92" i="3"/>
  <c r="V92" i="3"/>
  <c r="S92" i="3"/>
  <c r="P92" i="3"/>
  <c r="M92" i="3"/>
  <c r="J92" i="3"/>
  <c r="G92" i="3"/>
  <c r="D92" i="3"/>
  <c r="AZ90" i="3"/>
  <c r="AW90" i="3"/>
  <c r="AT90" i="3"/>
  <c r="AQ90" i="3"/>
  <c r="AN90" i="3"/>
  <c r="AK90" i="3"/>
  <c r="AH90" i="3"/>
  <c r="AE90" i="3"/>
  <c r="AB90" i="3"/>
  <c r="Y90" i="3"/>
  <c r="V90" i="3"/>
  <c r="S90" i="3"/>
  <c r="P90" i="3"/>
  <c r="M90" i="3"/>
  <c r="J90" i="3"/>
  <c r="G90" i="3"/>
  <c r="D90" i="3"/>
  <c r="AZ88" i="3"/>
  <c r="AW88" i="3"/>
  <c r="AT88" i="3"/>
  <c r="AQ88" i="3"/>
  <c r="AN88" i="3"/>
  <c r="AK88" i="3"/>
  <c r="AH88" i="3"/>
  <c r="AE88" i="3"/>
  <c r="AB88" i="3"/>
  <c r="Y88" i="3"/>
  <c r="V88" i="3"/>
  <c r="S88" i="3"/>
  <c r="P88" i="3"/>
  <c r="M88" i="3"/>
  <c r="J88" i="3"/>
  <c r="G88" i="3"/>
  <c r="D88" i="3"/>
  <c r="AZ86" i="3"/>
  <c r="AW86" i="3"/>
  <c r="AT86" i="3"/>
  <c r="AQ86" i="3"/>
  <c r="AN86" i="3"/>
  <c r="AK86" i="3"/>
  <c r="AH86" i="3"/>
  <c r="AE86" i="3"/>
  <c r="AB86" i="3"/>
  <c r="Y86" i="3"/>
  <c r="V86" i="3"/>
  <c r="S86" i="3"/>
  <c r="P86" i="3"/>
  <c r="M86" i="3"/>
  <c r="J86" i="3"/>
  <c r="G86" i="3"/>
  <c r="D86" i="3"/>
  <c r="AY81" i="3"/>
  <c r="AZ80" i="3"/>
  <c r="AV81" i="3"/>
  <c r="AW80" i="3"/>
  <c r="AS81" i="3"/>
  <c r="AP81" i="3"/>
  <c r="AQ80" i="3"/>
  <c r="AJ81" i="3"/>
  <c r="AK80" i="3"/>
  <c r="AG81" i="3"/>
  <c r="AH80" i="3"/>
  <c r="X81" i="3"/>
  <c r="Y80" i="3"/>
  <c r="U81" i="3"/>
  <c r="L81" i="3"/>
  <c r="M80" i="3"/>
  <c r="F81" i="3"/>
  <c r="G80" i="3"/>
  <c r="AT80" i="3"/>
  <c r="AN80" i="3"/>
  <c r="AE80" i="3"/>
  <c r="AB80" i="3"/>
  <c r="V80" i="3"/>
  <c r="S80" i="3"/>
  <c r="P80" i="3"/>
  <c r="J80" i="3"/>
  <c r="D80" i="3"/>
  <c r="AZ78" i="3"/>
  <c r="AW78" i="3"/>
  <c r="AT78" i="3"/>
  <c r="AQ78" i="3"/>
  <c r="AN78" i="3"/>
  <c r="AK78" i="3"/>
  <c r="AH78" i="3"/>
  <c r="AE78" i="3"/>
  <c r="AB78" i="3"/>
  <c r="Y78" i="3"/>
  <c r="V78" i="3"/>
  <c r="S78" i="3"/>
  <c r="P78" i="3"/>
  <c r="M78" i="3"/>
  <c r="J78" i="3"/>
  <c r="G78" i="3"/>
  <c r="D78" i="3"/>
  <c r="AZ76" i="3"/>
  <c r="AW76" i="3"/>
  <c r="AT76" i="3"/>
  <c r="AQ76" i="3"/>
  <c r="AN76" i="3"/>
  <c r="AK76" i="3"/>
  <c r="AH76" i="3"/>
  <c r="AE76" i="3"/>
  <c r="AB76" i="3"/>
  <c r="Y76" i="3"/>
  <c r="V76" i="3"/>
  <c r="S76" i="3"/>
  <c r="P76" i="3"/>
  <c r="M76" i="3"/>
  <c r="J76" i="3"/>
  <c r="G76" i="3"/>
  <c r="D76" i="3"/>
  <c r="AZ72" i="3"/>
  <c r="AW72" i="3"/>
  <c r="AT72" i="3"/>
  <c r="AQ72" i="3"/>
  <c r="AN72" i="3"/>
  <c r="AK72" i="3"/>
  <c r="AH72" i="3"/>
  <c r="AE72" i="3"/>
  <c r="AB72" i="3"/>
  <c r="Y72" i="3"/>
  <c r="V72" i="3"/>
  <c r="S72" i="3"/>
  <c r="P72" i="3"/>
  <c r="M72" i="3"/>
  <c r="J72" i="3"/>
  <c r="G72" i="3"/>
  <c r="D72" i="3"/>
  <c r="AZ70" i="3"/>
  <c r="AW70" i="3"/>
  <c r="AT70" i="3"/>
  <c r="AQ70" i="3"/>
  <c r="AN70" i="3"/>
  <c r="AK70" i="3"/>
  <c r="AH70" i="3"/>
  <c r="AE70" i="3"/>
  <c r="AB70" i="3"/>
  <c r="Y70" i="3"/>
  <c r="V70" i="3"/>
  <c r="S70" i="3"/>
  <c r="P70" i="3"/>
  <c r="M70" i="3"/>
  <c r="J70" i="3"/>
  <c r="G70" i="3"/>
  <c r="D70" i="3"/>
  <c r="U69" i="3"/>
  <c r="F69" i="3"/>
  <c r="G68" i="3"/>
  <c r="C69" i="3"/>
  <c r="D68" i="3"/>
  <c r="AZ68" i="3"/>
  <c r="AW68" i="3"/>
  <c r="AT68" i="3"/>
  <c r="AQ68" i="3"/>
  <c r="AN68" i="3"/>
  <c r="AK68" i="3"/>
  <c r="AH68" i="3"/>
  <c r="AE68" i="3"/>
  <c r="AB68" i="3"/>
  <c r="Y68" i="3"/>
  <c r="V68" i="3"/>
  <c r="S68" i="3"/>
  <c r="P68" i="3"/>
  <c r="M68" i="3"/>
  <c r="J68" i="3"/>
  <c r="AZ66" i="3"/>
  <c r="AW66" i="3"/>
  <c r="AT66" i="3"/>
  <c r="AQ66" i="3"/>
  <c r="AN66" i="3"/>
  <c r="AK66" i="3"/>
  <c r="AH66" i="3"/>
  <c r="AE66" i="3"/>
  <c r="AB66" i="3"/>
  <c r="Y66" i="3"/>
  <c r="V66" i="3"/>
  <c r="S66" i="3"/>
  <c r="P66" i="3"/>
  <c r="M66" i="3"/>
  <c r="J66" i="3"/>
  <c r="G66" i="3"/>
  <c r="D66" i="3"/>
  <c r="AZ64" i="3"/>
  <c r="AW64" i="3"/>
  <c r="AT64" i="3"/>
  <c r="AQ64" i="3"/>
  <c r="AN64" i="3"/>
  <c r="AK64" i="3"/>
  <c r="AH64" i="3"/>
  <c r="AE64" i="3"/>
  <c r="AB64" i="3"/>
  <c r="Y64" i="3"/>
  <c r="V64" i="3"/>
  <c r="S64" i="3"/>
  <c r="P64" i="3"/>
  <c r="M64" i="3"/>
  <c r="J64" i="3"/>
  <c r="G64" i="3"/>
  <c r="D64" i="3"/>
  <c r="U63" i="3"/>
  <c r="V62" i="3"/>
  <c r="AZ62" i="3"/>
  <c r="AW62" i="3"/>
  <c r="AT62" i="3"/>
  <c r="AQ62" i="3"/>
  <c r="AN62" i="3"/>
  <c r="AK62" i="3"/>
  <c r="AH62" i="3"/>
  <c r="AE62" i="3"/>
  <c r="AB62" i="3"/>
  <c r="Y62" i="3"/>
  <c r="S62" i="3"/>
  <c r="P62" i="3"/>
  <c r="M62" i="3"/>
  <c r="J62" i="3"/>
  <c r="G62" i="3"/>
  <c r="D62" i="3"/>
  <c r="AZ60" i="3"/>
  <c r="AW60" i="3"/>
  <c r="AT60" i="3"/>
  <c r="AQ60" i="3"/>
  <c r="AN60" i="3"/>
  <c r="AK60" i="3"/>
  <c r="AH60" i="3"/>
  <c r="AE60" i="3"/>
  <c r="AB60" i="3"/>
  <c r="Y60" i="3"/>
  <c r="V60" i="3"/>
  <c r="S60" i="3"/>
  <c r="P60" i="3"/>
  <c r="M60" i="3"/>
  <c r="J60" i="3"/>
  <c r="G60" i="3"/>
  <c r="D60" i="3"/>
  <c r="AZ58" i="3"/>
  <c r="AW58" i="3"/>
  <c r="AT58" i="3"/>
  <c r="AQ58" i="3"/>
  <c r="AN58" i="3"/>
  <c r="AK58" i="3"/>
  <c r="AH58" i="3"/>
  <c r="AE58" i="3"/>
  <c r="AB58" i="3"/>
  <c r="Y58" i="3"/>
  <c r="V58" i="3"/>
  <c r="S58" i="3"/>
  <c r="P58" i="3"/>
  <c r="M58" i="3"/>
  <c r="J58" i="3"/>
  <c r="G58" i="3"/>
  <c r="D58" i="3"/>
  <c r="AD57" i="3"/>
  <c r="AZ56" i="3"/>
  <c r="AW56" i="3"/>
  <c r="AT56" i="3"/>
  <c r="AQ56" i="3"/>
  <c r="AN56" i="3"/>
  <c r="AK56" i="3"/>
  <c r="AH56" i="3"/>
  <c r="AD55" i="3"/>
  <c r="AE54" i="3"/>
  <c r="AZ54" i="3"/>
  <c r="AW54" i="3"/>
  <c r="AT54" i="3"/>
  <c r="AQ54" i="3"/>
  <c r="AN54" i="3"/>
  <c r="AK54" i="3"/>
  <c r="AH54" i="3"/>
  <c r="AB54" i="3"/>
  <c r="AD53" i="3"/>
  <c r="AE52" i="3"/>
  <c r="U53" i="3"/>
  <c r="AZ52" i="3"/>
  <c r="AW52" i="3"/>
  <c r="AT52" i="3"/>
  <c r="AQ52" i="3"/>
  <c r="AN52" i="3"/>
  <c r="AK52" i="3"/>
  <c r="AH52" i="3"/>
  <c r="AB52" i="3"/>
  <c r="J52" i="3"/>
  <c r="F37" i="3"/>
  <c r="G36" i="3"/>
  <c r="AZ36" i="3"/>
  <c r="AW36" i="3"/>
  <c r="AT36" i="3"/>
  <c r="AQ36" i="3"/>
  <c r="AN36" i="3"/>
  <c r="AK36" i="3"/>
  <c r="AH36" i="3"/>
  <c r="AE36" i="3"/>
  <c r="AB36" i="3"/>
  <c r="Y36" i="3"/>
  <c r="V36" i="3"/>
  <c r="S36" i="3"/>
  <c r="P36" i="3"/>
  <c r="M36" i="3"/>
  <c r="J36" i="3"/>
  <c r="D36" i="3"/>
  <c r="F35" i="3"/>
  <c r="G34" i="3"/>
  <c r="AZ34" i="3"/>
  <c r="AW34" i="3"/>
  <c r="AT34" i="3"/>
  <c r="AQ34" i="3"/>
  <c r="AN34" i="3"/>
  <c r="AK34" i="3"/>
  <c r="AH34" i="3"/>
  <c r="AE34" i="3"/>
  <c r="AB34" i="3"/>
  <c r="Y34" i="3"/>
  <c r="V34" i="3"/>
  <c r="S34" i="3"/>
  <c r="P34" i="3"/>
  <c r="M34" i="3"/>
  <c r="J34" i="3"/>
  <c r="D34" i="3"/>
  <c r="AZ26" i="3"/>
  <c r="AW26" i="3"/>
  <c r="AT26" i="3"/>
  <c r="AQ26" i="3"/>
  <c r="AN26" i="3"/>
  <c r="AK26" i="3"/>
  <c r="AH26" i="3"/>
  <c r="AE26" i="3"/>
  <c r="AB26" i="3"/>
  <c r="Y26" i="3"/>
  <c r="V26" i="3"/>
  <c r="S26" i="3"/>
  <c r="P26" i="3"/>
  <c r="G26" i="3"/>
  <c r="D26" i="3"/>
  <c r="C25" i="3"/>
  <c r="D24" i="3"/>
  <c r="AZ20" i="3"/>
  <c r="AW20" i="3"/>
  <c r="AT20" i="3"/>
  <c r="AQ20" i="3"/>
  <c r="AN20" i="3"/>
  <c r="AK20" i="3"/>
  <c r="AH20" i="3"/>
  <c r="AE20" i="3"/>
  <c r="AB20" i="3"/>
  <c r="Y20" i="3"/>
  <c r="V20" i="3"/>
  <c r="S20" i="3"/>
  <c r="P20" i="3"/>
  <c r="M20" i="3"/>
  <c r="J20" i="3"/>
  <c r="F20" i="3"/>
  <c r="G20" i="3"/>
  <c r="D20" i="3"/>
  <c r="AZ18" i="3"/>
  <c r="AW18" i="3"/>
  <c r="AT18" i="3"/>
  <c r="AQ18" i="3"/>
  <c r="AN18" i="3"/>
  <c r="AK18" i="3"/>
  <c r="AH18" i="3"/>
  <c r="AE18" i="3"/>
  <c r="AB18" i="3"/>
  <c r="Y18" i="3"/>
  <c r="V18" i="3"/>
  <c r="S18" i="3"/>
  <c r="P18" i="3"/>
  <c r="M18" i="3"/>
  <c r="J18" i="3"/>
  <c r="G18" i="3"/>
  <c r="D18" i="3"/>
  <c r="AZ16" i="3"/>
  <c r="AW16" i="3"/>
  <c r="AT16" i="3"/>
  <c r="AQ16" i="3"/>
  <c r="AN16" i="3"/>
  <c r="AK16" i="3"/>
  <c r="AH16" i="3"/>
  <c r="AE16" i="3"/>
  <c r="AB16" i="3"/>
  <c r="Y16" i="3"/>
  <c r="V16" i="3"/>
  <c r="S16" i="3"/>
  <c r="P16" i="3"/>
  <c r="M16" i="3"/>
  <c r="J16" i="3"/>
  <c r="G16" i="3"/>
  <c r="D16" i="3"/>
  <c r="AZ14" i="3"/>
  <c r="AW14" i="3"/>
  <c r="AT14" i="3"/>
  <c r="AQ14" i="3"/>
  <c r="AN14" i="3"/>
  <c r="AK14" i="3"/>
  <c r="AH14" i="3"/>
  <c r="AE14" i="3"/>
  <c r="AB14" i="3"/>
  <c r="Y14" i="3"/>
  <c r="V14" i="3"/>
  <c r="S14" i="3"/>
  <c r="P14" i="3"/>
  <c r="M14" i="3"/>
  <c r="J14" i="3"/>
  <c r="G14" i="3"/>
  <c r="D14" i="3"/>
  <c r="AZ12" i="3"/>
  <c r="AW12" i="3"/>
  <c r="AT12" i="3"/>
  <c r="AQ12" i="3"/>
  <c r="AN12" i="3"/>
  <c r="AK12" i="3"/>
  <c r="AH12" i="3"/>
  <c r="AE12" i="3"/>
  <c r="AB12" i="3"/>
  <c r="Y12" i="3"/>
  <c r="V12" i="3"/>
  <c r="S12" i="3"/>
  <c r="P12" i="3"/>
  <c r="M12" i="3"/>
  <c r="J12" i="3"/>
  <c r="G12" i="3"/>
  <c r="D12" i="3"/>
  <c r="D10" i="3"/>
  <c r="AV9" i="3"/>
  <c r="AW8" i="3"/>
  <c r="AS9" i="3"/>
  <c r="AT8" i="3"/>
  <c r="AP9" i="3"/>
  <c r="AQ8" i="3"/>
  <c r="AM9" i="3"/>
  <c r="AN8" i="3"/>
  <c r="AJ9" i="3"/>
  <c r="AG9" i="3"/>
  <c r="AH8" i="3"/>
  <c r="X9" i="3"/>
  <c r="R9" i="3"/>
  <c r="S8" i="3"/>
  <c r="L9" i="3"/>
  <c r="F9" i="3"/>
  <c r="G8" i="3"/>
  <c r="AZ8" i="3"/>
  <c r="AK8" i="3"/>
  <c r="AE8" i="3"/>
  <c r="AB8" i="3"/>
  <c r="Y8" i="3"/>
  <c r="V8" i="3"/>
  <c r="P8" i="3"/>
  <c r="M8" i="3"/>
  <c r="J8" i="3"/>
  <c r="D8" i="3"/>
  <c r="AZ6" i="3"/>
  <c r="AW6" i="3"/>
  <c r="AT6" i="3"/>
  <c r="AQ6" i="3"/>
  <c r="AN6" i="3"/>
  <c r="AK6" i="3"/>
  <c r="AH6" i="3"/>
  <c r="AE6" i="3"/>
  <c r="AB6" i="3"/>
  <c r="Y6" i="3"/>
  <c r="V6" i="3"/>
  <c r="S6" i="3"/>
  <c r="P6" i="3"/>
  <c r="M6" i="3"/>
  <c r="J6" i="3"/>
  <c r="G6" i="3"/>
  <c r="D6" i="3"/>
  <c r="AH108" i="3"/>
  <c r="AH110" i="3"/>
  <c r="AK110" i="3"/>
  <c r="AW108" i="3"/>
  <c r="AK1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79" authorId="0" shapeId="0" xr:uid="{00000000-0006-0000-0100-000001000000}">
      <text>
        <r>
          <rPr>
            <b/>
            <sz val="9"/>
            <color indexed="81"/>
            <rFont val="Tahoma"/>
            <family val="2"/>
          </rPr>
          <t>USUARIO:</t>
        </r>
        <r>
          <rPr>
            <sz val="9"/>
            <color indexed="81"/>
            <rFont val="Tahoma"/>
            <family val="2"/>
          </rPr>
          <t xml:space="preserve">
LOS EGRESOS DE HOSPITALIZACION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79" authorId="0" shapeId="0" xr:uid="{00000000-0006-0000-0200-000001000000}">
      <text>
        <r>
          <rPr>
            <b/>
            <sz val="9"/>
            <color indexed="81"/>
            <rFont val="Tahoma"/>
            <family val="2"/>
          </rPr>
          <t>USUARIO:</t>
        </r>
        <r>
          <rPr>
            <sz val="9"/>
            <color indexed="81"/>
            <rFont val="Tahoma"/>
            <family val="2"/>
          </rPr>
          <t xml:space="preserve">
LOS EGRESOS DE HOSPITALIZACION</t>
        </r>
      </text>
    </comment>
  </commentList>
</comments>
</file>

<file path=xl/sharedStrings.xml><?xml version="1.0" encoding="utf-8"?>
<sst xmlns="http://schemas.openxmlformats.org/spreadsheetml/2006/main" count="3255" uniqueCount="503">
  <si>
    <t>INDICADORES RESOLUCIÓN 256 DE 2016</t>
  </si>
  <si>
    <t>ENE-JUN 2016</t>
  </si>
  <si>
    <t>IND</t>
  </si>
  <si>
    <t>OBS</t>
  </si>
  <si>
    <t>P.1.1 - Proporción de gestantes con consulta de control prenatal de primera vez antes de las 12 semanas de gestación</t>
  </si>
  <si>
    <t>Número de gestantes que ingresan al control prenatal antes de las 12 semanas de gestación</t>
  </si>
  <si>
    <t>Total de gestantes en control prenatal</t>
  </si>
  <si>
    <t>P.1.2 - Proporción de gestantes con valoración por odontología</t>
  </si>
  <si>
    <t>Número de gestantes con valoración por Odontología</t>
  </si>
  <si>
    <t>Total de gestantes</t>
  </si>
  <si>
    <t>P.1.3 - Proporción de partos por cesárea</t>
  </si>
  <si>
    <t>Número de nacidos vivos por cesárea</t>
  </si>
  <si>
    <t>Total de nacidos vivos</t>
  </si>
  <si>
    <t>P.1.4 - Tasa de mortalidad perinatal</t>
  </si>
  <si>
    <t>Número de muertes fetales con 22 semanas completas (154 días) de gestación o con 500 gramos o más de peso y los siete días completos después del nacimiento.</t>
  </si>
  <si>
    <t>Número total de nacidos vivos más el número de muertes fetales con 22 semanas completas (154 días) de gestación o con 500 gramos o más de peso</t>
  </si>
  <si>
    <t>P.1.5 - Relación Morbilidad Materna Extrema(MME) / Muerte Materna temprana (MM)</t>
  </si>
  <si>
    <t>Número de casos de MME</t>
  </si>
  <si>
    <t>Número de casos de muerte materna ( 42 días)</t>
  </si>
  <si>
    <t>P.1.6 - Proporción de recién nacidos con tamizaje para Hipotiroidismo</t>
  </si>
  <si>
    <t>Número de nacidos vivos a quienes se realiza tamizaje de hipotiroidismo</t>
  </si>
  <si>
    <t>Número total de nacidos vivos</t>
  </si>
  <si>
    <t>P.1.7 - Proporción de reingreso hospitalario por Infección Respiratoria Aguda (IRA) en menores de 5 años</t>
  </si>
  <si>
    <t>Número de hospitalizaciones por IRA de menores de 5 años dentro de los 20 días después del primer egreso por la misma causa.</t>
  </si>
  <si>
    <t>Número total de egresos de menores de 5 años con hospitalización por IRA</t>
  </si>
  <si>
    <t>SOLO SE TOMA EL DATO DE PCTES. DE HOSPITALIZACIÓN</t>
  </si>
  <si>
    <t>P.1.8 - Letalidad por Infección Respiratoria Aguda (IRA) en menores de 5 años</t>
  </si>
  <si>
    <t>Número de muertes por IRA en menores de 5 años</t>
  </si>
  <si>
    <t>Número total de menores de 5 años atendidos por diagnóstico de IRA</t>
  </si>
  <si>
    <t>SE TOMA EL DATO DE TODOS LOS EGRESOS, INCLUYENDO URGENCIAS</t>
  </si>
  <si>
    <t>P.1.9 - Letalidad en menores de 5 años por Enfermedad Diarreica Aguda (EDA)</t>
  </si>
  <si>
    <t>Número de muertes por EDA en menores de 5 años</t>
  </si>
  <si>
    <t>Número total de menores de 5 años atendidos con diagnóstico de EDA</t>
  </si>
  <si>
    <t>P.1.10 - Proporción de gestantes con asesoría pre-test para prueba de Virus de la inmunodeficiencia Humana (VIH)</t>
  </si>
  <si>
    <t>Número de gestantes a quienes se les realizó asesoría pre-test para prueba de VIH (ELISA)</t>
  </si>
  <si>
    <t>P.1.11 - Proporción de niños y niñas menores de 18 meses, hijos de madre viviendo con VIH, con diagnóstico de VIH.</t>
  </si>
  <si>
    <t>Número de niños menores de 18 meses con diagnóstico de VIH/Sida hijos de madres con VIH/Sida</t>
  </si>
  <si>
    <t>Número de menores de 18 meses hijos de madres con VIH/Sida</t>
  </si>
  <si>
    <t>P.1.12 - Proporción de mujeres a las que se les realizó toma de serología en el momento del parto o aborto.</t>
  </si>
  <si>
    <t>Número de mujeres a las que se les realizó toma de serología en el momento del parto o aborto</t>
  </si>
  <si>
    <t>Número total de gestantes de los últimos 6 meses que a la fecha de corte están en embarazo reportadas</t>
  </si>
  <si>
    <t>SUMA DE PARTOS CESAREAS Y LEGRADOS</t>
  </si>
  <si>
    <t>P.1.13 - Proporción de pacientes hospitalizados por Dengue Grave</t>
  </si>
  <si>
    <t>Número de pacientes con diagnóstico de Dengue Grave que fueron hospitalizados</t>
  </si>
  <si>
    <t>Total de pacientes con diagnóstico de Dengue Grave en el periodo</t>
  </si>
  <si>
    <t>P.1.14 - Proporción de personas con Hipertensión Arterial a quienes se les realiza medición de LDL en un período determinado.</t>
  </si>
  <si>
    <t>Número de personas con Hipertensión Arterial a quienes se les realiza medición de LDL en el año</t>
  </si>
  <si>
    <t>NA</t>
  </si>
  <si>
    <t>Número total de personas con Hipertensión Arterial reportados</t>
  </si>
  <si>
    <t>P.1.15 - Proporción de personas con Diabetes a quienes se les realizó toma de hemoglobina glicosilada en el último semestre.</t>
  </si>
  <si>
    <t>Número de personas con Diabetes Mellitus a quienes se les realizó la toma de hemoglobina glicosilada en el último semestre</t>
  </si>
  <si>
    <t>Número total de personas con Diabetes Mellitus reportadas</t>
  </si>
  <si>
    <t>P.1.16 - Proporción de personas con Diabetes Mellitus a quienes se les realiza medición de LDL</t>
  </si>
  <si>
    <t>Personas con Diabetes Mellitus a quienes se les realiza medición de LDL en el año</t>
  </si>
  <si>
    <t>Número total de personas con Diabetes Mellitus reportados</t>
  </si>
  <si>
    <t>P.1.17 - Proporción de personas con Hipertensión arterial (HTA), estudiadas para Enfermedad Renal Crónica (ERC)</t>
  </si>
  <si>
    <t>Número de personas con HTA quienes fueron estudiadas para ERC</t>
  </si>
  <si>
    <t>Número total de personas HTA reportadas</t>
  </si>
  <si>
    <t>P.1.18 - Proporción de personas con Diabetes Mellitus, estudiadas para Enfermedad Renal Crónica (ERC).</t>
  </si>
  <si>
    <t>Número de personas con Diabetes Mellitus quienes fueron estudiadas para ERC</t>
  </si>
  <si>
    <t>Número total de personas Diabetes Mellitus reportadas</t>
  </si>
  <si>
    <t>P.1.19 - Proporción de personas en diálisis con hemoglobina mayor o igual a 10 g/dl</t>
  </si>
  <si>
    <t>Número de personas en diálisis que presentan un promedio de hemoglobina mayor o igual a 10g/dl en el último trimestre</t>
  </si>
  <si>
    <t>Número total de pacientes en diálisis</t>
  </si>
  <si>
    <t>P.1.20 - Proporción de pacientes prevalentes en hemodiálisis con catéter como acceso vascular</t>
  </si>
  <si>
    <t>Número total de pacientes prevalentes con catéter como acceso vascular al cierre del período de observación.</t>
  </si>
  <si>
    <t>Número total de pacientes prevalentes en hemodiálisis al cierre del período de observación.</t>
  </si>
  <si>
    <t>P.1.21 - Proporción de mujeres entre los 50 y 69 años con toma de mamografía en los últimos 2 años</t>
  </si>
  <si>
    <t>Número de mujeres de 50-69 años que cuentan con mamografía en los últimos 2 años</t>
  </si>
  <si>
    <t>Total de mujeres entre 50-69 años que fueron asignadas a la IPS</t>
  </si>
  <si>
    <t>P.1.22 - Tiempo promedio de espera para el inicio del tratamiento en cáncer de mama</t>
  </si>
  <si>
    <t>Sumatoria de la diferencia de días calendario entre la fecha de inicio de tratamiento y la fecha de diagnóstico de cáncer de mama incidentes.</t>
  </si>
  <si>
    <t>Número total de casos de cáncer de mama diagnosticados en el periodo</t>
  </si>
  <si>
    <t>P.1.23 - Proporción de mujeres entre 25 y 69 años con toma de citología en el último año.</t>
  </si>
  <si>
    <t>Número de mujeres de entre 25 y 69 años que se ha tomado la citología en el periodo definido.</t>
  </si>
  <si>
    <t>Total de mujeres entre 25 y 69 años asignadas a la IPS.</t>
  </si>
  <si>
    <t>P.1.24 - Tiempo promedio de espera entre el diagnóstico probable y el diagnóstico definitivo Leucemia Aguda Pediátrica (LAP) en menores de 18 años</t>
  </si>
  <si>
    <t>Sumatoria de la diferencia en días transcurridos entre la primera consulta del menor de 18 años con manifestaciones clínicas para LAP y la fecha en que se reporta el resultado del hemograma con Blastos positivo.</t>
  </si>
  <si>
    <t>Número total de menores de 18 años con diagnóstico de LAP</t>
  </si>
  <si>
    <t>P.1.25 - Proporción de menores de 18 años que cumplen el estándar de 5 días para el inicio de tratamiento de Leucemia Aguda Pediátrica-LAP</t>
  </si>
  <si>
    <t>Número de menores de 18 años con LAP incidentes en el periodo con una diferencia en días entre el inicio de tratamiento y la fecha de diagnóstico menor o igual a 5.</t>
  </si>
  <si>
    <t>Número de menores de 18 años con LAP incidentes en el periodo</t>
  </si>
  <si>
    <t>P.2.1 - Tasa de Incidencia de Neumonía Asociada a Ventilador Mecánico (NAV)</t>
  </si>
  <si>
    <t>Número de Neumonías Asociadas a Ventilador nuevas en la UCI (adulto o pediátrica o neonatal)</t>
  </si>
  <si>
    <t>Número de días ventilador mecánico en UCI (adulto o pediátrica o neonatal)</t>
  </si>
  <si>
    <t>P.2.2 - Tasa de Incidencia de Infección del Tracto Urinario Asociada a Catéter (ISTU-AC)</t>
  </si>
  <si>
    <t>Sumatoria de los casos nuevos de Infección del Tracto Urinario Asociada a Catéter en un mes de seguimiento</t>
  </si>
  <si>
    <t>Número días catéter urinario en UCI (adulto, y pediátrica) en un mes de seguimiento</t>
  </si>
  <si>
    <t>P.2.3 - Tasa de Incidencia de Infección del Torrente Sanguíneo Asociada a Catéter (ITS- AC)</t>
  </si>
  <si>
    <t>Sumatoria de casos nuevos de Infección del Torrente Sanguíneo Asociada a Catéter en un mes de seguimiento.</t>
  </si>
  <si>
    <t>Número días catéter central en UCI (Adulto o Pediátrica o Neonatal) en un mes de seguimiento.</t>
  </si>
  <si>
    <t>P.2.4 - Proporción de endometritis pos parto vaginal</t>
  </si>
  <si>
    <t>Número de endometritis pos parto vaginal</t>
  </si>
  <si>
    <t>Total de Nacidos vivos</t>
  </si>
  <si>
    <t>P.2.5 - Proporción de endometritis pos cesárea</t>
  </si>
  <si>
    <t>Número de endometritis pos cesárea</t>
  </si>
  <si>
    <t>P.2.6 - Tasa de caída de pacientes en el servicio de hospitalización</t>
  </si>
  <si>
    <t>Número total de pacientes hospitalizados que sufren caídas en el periodo.</t>
  </si>
  <si>
    <t>Sumatoria de días de estancia de los pacientes en los servicios de hospitalización en el periodo.</t>
  </si>
  <si>
    <t>P.2.7 - Tasa de caída de pacientes en el servicio de urgencias</t>
  </si>
  <si>
    <t>Número total de pacientes atendidos en urgencias que sufren caídas en el periodo.</t>
  </si>
  <si>
    <t>Total de personas atendidas en urgencias en el periodo</t>
  </si>
  <si>
    <t>P.2.8 - Tasa de caída de pacientes en el servicio de consulta externa</t>
  </si>
  <si>
    <t>Número total de pacientes atendidos en consulta externa que sufren caídas en el periodo.</t>
  </si>
  <si>
    <t>Total de personas atendidas en consulta externa</t>
  </si>
  <si>
    <t>TODOS LOS PCTES QUE VIENEN A ASIGNAR CITA</t>
  </si>
  <si>
    <t>P.2.9 - Tasa de caída de pacientes en el servicio de Apoyo Diagnóstico y Complementación Terapéutica</t>
  </si>
  <si>
    <t>Numerador: Número total de pacientes atendidos en el servicio de Apoyo Diagnóstico y Complementación Terapéutica que sufren caídas</t>
  </si>
  <si>
    <t>Total de personas atendidas en el servicio de apoyo diagnóstico y complementación terapéutica.</t>
  </si>
  <si>
    <t>P.2.10 - Proporción de eventos adversos relacionados con la administración de medicamentos en hospitalización</t>
  </si>
  <si>
    <t>Número de eventos adversos relacionados con la administración de medicamentos en hospitalización.</t>
  </si>
  <si>
    <t>Total de egresos de hospitalización.</t>
  </si>
  <si>
    <t>P.2.11 - Proporción de eventos adversos relacionados con la administración de medicamentos en urgencias</t>
  </si>
  <si>
    <t>Número de eventos adversos relacionados con la administración de medicamentos en urgencias.</t>
  </si>
  <si>
    <t>Total de personas atendidas en urgencias.</t>
  </si>
  <si>
    <t>P.2.12 - Tasa de úlceras por presión</t>
  </si>
  <si>
    <t>Número de pacientes que desarrollan úlceras por presión en la institución en el periodo</t>
  </si>
  <si>
    <t>Sumatoria de días de estancia de los pacientes en los servicios de hospitalización</t>
  </si>
  <si>
    <t>P.2.13 - Proporción de reingreso de pacientes al servicio de Urgencias en menos de 72 horas.</t>
  </si>
  <si>
    <t>Número de pacientes que reingresan al servicio de urgencias en la misma institución antes de 72 horas con el mismo diagnóstico de egreso</t>
  </si>
  <si>
    <t>Número total de pacientes atendidos en el servicio de urgencias, en el periodo</t>
  </si>
  <si>
    <t>P.2.14 - Tasa de reingreso de pacientes hospitalizados en menos de 15 días</t>
  </si>
  <si>
    <t>Número total de pacientes que reingresan al servicio de hospitalización, en la misma institución, antes de 15 días, por el mismo diagnostico de egreso en el período.</t>
  </si>
  <si>
    <t>Número total de egresos vivos en el periodo</t>
  </si>
  <si>
    <t>P.2.15 - Proporción de cancelación de cirugía</t>
  </si>
  <si>
    <t>Número total de cirugías programadas que fueron canceladas por causas atribuibles a la institución</t>
  </si>
  <si>
    <t>Número total de cirugías programadas</t>
  </si>
  <si>
    <t>P.3.1 - Tiempo promedio de espera para la asignación de cita de Medicina General</t>
  </si>
  <si>
    <t>Sumatoria de la diferencia de días calendario entre la fecha en la que se asignó la cita de Medicina general de primera vez y la fecha en la cual el usuario la solicitó</t>
  </si>
  <si>
    <t>Número total de citas de Medicina General de primera vez asignadas</t>
  </si>
  <si>
    <t>P.3.2 - Tiempo promedio de espera para la asignación de cita de Odontología General</t>
  </si>
  <si>
    <t>Sumatoria de la diferencia de días calendario entre la fecha en la que se asignó la cita de Odontología general de primera vez y la fecha en la cual el usuario la solicitó</t>
  </si>
  <si>
    <t>Número total de citas de Odontología General de primera vez asignadas</t>
  </si>
  <si>
    <t>P.3.3 - Tiempo promedio de espera para la asignación de cita de Medicina Interna</t>
  </si>
  <si>
    <t>Sumatoria de la diferencia de días calendario entre la fecha en la que se asignó la cita de Medicina Interna de primera vez y la fecha en la cual el usuario la solicitó</t>
  </si>
  <si>
    <t>Número total de citas de Medicina interna de primera vez asignadas</t>
  </si>
  <si>
    <t>P.3.4 - Tiempo promedio de espera para la asignación de cita de Pediatría</t>
  </si>
  <si>
    <t>Sumatoria de la diferencia de días calendario entre la fecha en la que se asignó la cita de Pediatría de primera vez y la fecha en la cual el usuario la solicitó</t>
  </si>
  <si>
    <t>Número total de citas de Pediatría de primera vez asignadas</t>
  </si>
  <si>
    <t>P.3.5 - Tiempo promedio de espera para la asignación de cita de Ginecología</t>
  </si>
  <si>
    <t>Sumatoria de la diferencia de días calendario entre la fecha en la que se asignó la cita de Ginecología de primera vez y la fecha en la cual el usuario la solicitó</t>
  </si>
  <si>
    <t>Número total de citas de Ginecología de primera vez asignadas</t>
  </si>
  <si>
    <t>P.3.6 - Tiempo promedio de espera para la asignación de cita de Obstetricia</t>
  </si>
  <si>
    <t>Sumatoria de la diferencia de días calendario entre la fecha en la que se asignó la cita de Obstetricia de primera vez y la fecha en la cual el usuario la solicitó</t>
  </si>
  <si>
    <t>Número total de citas de Obstetricia de primera vez asignadas</t>
  </si>
  <si>
    <t>P.3.7 - Tiempo promedio de espera para la asignación de cita de Cirugía General</t>
  </si>
  <si>
    <t>Sumatoria de la diferencia de días calendario entre la fecha en la que se asignó la cita de Cirugía General de primera vez y la fecha en la cual el usuario la solicitó</t>
  </si>
  <si>
    <t>Número total de citas de Cirugía General de primera vez asignadas</t>
  </si>
  <si>
    <t>P.3.8 - Tiempo promedio de espera para la toma de Ecografía</t>
  </si>
  <si>
    <t>Sumatoria de la diferencia de días calendario entre la fecha en la que se realiza la toma de la Ecografía y la fecha en la que se solicita</t>
  </si>
  <si>
    <t>Número total de Ecografías realizadas</t>
  </si>
  <si>
    <t>P.3.9 - Tiempo promedio de espera para la toma de Resonancia Magnética Nuclear</t>
  </si>
  <si>
    <t>Sumatoria de la diferencia de días calendario entre la fecha en la que se realiza la toma de la de Resonancia Magnética Nuclear y la fecha en la que se solicita</t>
  </si>
  <si>
    <t>Número total de Resonancia Magnética Nuclear realizadas</t>
  </si>
  <si>
    <t>P.3.10 - Tiempo promedio de espera para la atención del paciente clasificado como Triage 2 en el servicio de urgencias</t>
  </si>
  <si>
    <t>Sumatoria del número de minutos transcurridos a partir de que el paciente es clasificado como Triage 2 y el momento en el cual es atendido en consulta de Urgencias por médico.</t>
  </si>
  <si>
    <t>Número total de pacientes clasificados como Triage 2, en un periodo determinado</t>
  </si>
  <si>
    <t>P.3.11 - Tiempo promedio de espera para la realización de Cirugía de Cataratas</t>
  </si>
  <si>
    <t>Sumatoria total de los días calendario transcurridos entre la fecha de solicitud de programación de la Cirugía de Cataratas y la fecha de realización</t>
  </si>
  <si>
    <t>Número total de cirugías de Cataratas realizadas</t>
  </si>
  <si>
    <t>P.3.12 - Tiempo promedio de espera para la realización de Cirugía de Reemplazo de cadera</t>
  </si>
  <si>
    <t>Sumatoria total de los días calendario transcurridos entre la fecha de solicitud de programación de la Cirugía de Reemplazo de cadera y la fecha de realización.</t>
  </si>
  <si>
    <t>Número total de cirugías de Cirugía de Reemplazo de Cadera</t>
  </si>
  <si>
    <t>P.3.13 - Tiempo promedio de espera para la realización de Cirugía para revascularización miocárdica</t>
  </si>
  <si>
    <t>Sumatoria total de los días calendario transcurridos entre la fecha de solicitud de programación de la Cirugía para revascularización miocárdica y la fecha de realización.</t>
  </si>
  <si>
    <t>Número total de cirugías para revascularización miocárdica</t>
  </si>
  <si>
    <t>P.3.14 - Proporción de Satisfacción Global de los usuarios en la IPS</t>
  </si>
  <si>
    <t>Número de usuarios que respondieron “muy buena” o “buena” a la pregunta: ¿cómo calificaría su experiencia global respecto a los servicios de salud que ha recibido a través de su IPS?”</t>
  </si>
  <si>
    <t>Número de usuarios que respondieron la pregunta</t>
  </si>
  <si>
    <t>P.3.15 - Proporción de usuarios que recomendaría su IPS a familiares y amigos</t>
  </si>
  <si>
    <t>Número de usuarios que respondieron “definitivamente sí” o “probablemente sí” a la pregunta:” ¿recomendaría a sus familiares y amigos esta IPS?”,</t>
  </si>
  <si>
    <t>NO HAY REPORTE DE INFORMACIÓN POR PARTE DE LOS RESPONSABLES</t>
  </si>
  <si>
    <t>NO HAN ENVIADO BD DE SIVIGILA</t>
  </si>
  <si>
    <t>NO HAY REPORTE DE DATOS</t>
  </si>
  <si>
    <t>NO HAY REPORTE</t>
  </si>
  <si>
    <t>EL EQUIPO ESTÁ DAÑADO</t>
  </si>
  <si>
    <t>LAS CANCELACIONES ESTUVIERON RELACIONADAS CON DISPOSITIVOS MEDICOS Y MATERIALES</t>
  </si>
  <si>
    <t>NO SE PRESENTARON MUERTES MATERNAS DURANTE EL MES DE FEBRERO</t>
  </si>
  <si>
    <t>TODOS LOS REINGRESOS FUERON SUPERIORES A 72 HRAS</t>
  </si>
  <si>
    <t>LAS CANCELACIONES ESTUVIERON RELACIONADAS CON PROBLEMAS TÉCNICOS Y TIEMPO QX. PROLONGADOS</t>
  </si>
  <si>
    <t>NO SE PRESENTARON MUERTES MATERNAS DURANTE EL MES DE MARZO</t>
  </si>
  <si>
    <t>NO SE PRESENTARON CASOS DE DENGUE GRAVE</t>
  </si>
  <si>
    <t>NO SE PRESENTARON CASOS DE ENDOMETRITIS POS PARTO VAGINAL</t>
  </si>
  <si>
    <t>NO SE PRESENTARON CASOS DE ENDOMETRITIS POS CESAREA</t>
  </si>
  <si>
    <t>LAS CANCELACIONES ESTUVIERON RELACIONADAS CON PROBLEMAS TÉCNICOS Y TIEMPO QX. PROLONGADOS Y ENFERMEDAD DEL CIRUJANO</t>
  </si>
  <si>
    <t>NO SE PRESENTARON MUERTES MATERNAS DURANTE EL MES DE ABRIL</t>
  </si>
  <si>
    <t>NO SE PRESENTARON MUERTES MATERNAS DURANTE EL MES DE MAYO</t>
  </si>
  <si>
    <t xml:space="preserve">NO SE PRESENTARON MUERTES MATERNAS EN JUNIO </t>
  </si>
  <si>
    <t xml:space="preserve">NO SE PRESENTARON MUERTES MATERNAS EN JULIO </t>
  </si>
  <si>
    <t>NO HAY REPORTE DE REINGRESOS</t>
  </si>
  <si>
    <t>ESTAN INCLUIDAS EN GINECOLOGIA</t>
  </si>
  <si>
    <t>DURANTE EL MES DE AGOSTO DE 2017 SE PRESENTARON 20 CASOS NUEVOS DE NAV POR CADA 1000 DIAS DE VENTILADOR</t>
  </si>
  <si>
    <t>DURANTE EL MES DE AGOSTO DE 2017 SE PRESENTARON 08 CASOS NUEVOS DE ISTU-AC POR CADA 1000 DIAS DE CATÉTER URINARIO</t>
  </si>
  <si>
    <t>DURANTE EL MES DE AGOSTO DE 2017 SE PRESENTARON 19 CASOS NUEVOS DE ITS-AC POR CADA 1000 DIAS DE CATÉTER CENTRAL</t>
  </si>
  <si>
    <t>NO SE PRESENTARON MUERTES MATERNAS EN AGOSTO</t>
  </si>
  <si>
    <t>SE IDENTIFICARON 01 MENOR DE 05 AÑOS CON DIAGNOSTICO DE EDA</t>
  </si>
  <si>
    <t>EQUIPO DAÑADO</t>
  </si>
  <si>
    <t>NO SE PRESENTARON MUERTES MATERNAS EN EL MES</t>
  </si>
  <si>
    <t>SE PRESENTARÓ UNA MUERTE MATERNA POS LEGRADO: HIPOXIA CEREBRAL</t>
  </si>
  <si>
    <t>NO HUBO REPORTE</t>
  </si>
  <si>
    <t>EL 64% DE LOS NV FUERON POR CESAREA</t>
  </si>
  <si>
    <t>EL 58% DE LOS NV FUERON POR CESAREA</t>
  </si>
  <si>
    <t>NO SE PRESENTARON MUERTES PERINATALES</t>
  </si>
  <si>
    <t>02 DE CADA 100 NACIMIENTOS FUERON MUERTES FETALES</t>
  </si>
  <si>
    <t>05 DE CADA 100 NACIMIENTOS FUERON MUERTES FETALES</t>
  </si>
  <si>
    <t>NO SE PRESENTARON CASOS DE REINGRESOS</t>
  </si>
  <si>
    <t>SE PRESENTARON 4 CASOS NUEVOS POR CADA 1000 DÍAS VENTILADOR MES</t>
  </si>
  <si>
    <t>SE PRESENTARON 8 CASOS NUEVOS POR CADA 1000 DÍAS CATETER CENTRAL MES</t>
  </si>
  <si>
    <t>NO  HAY REPORTE</t>
  </si>
  <si>
    <t xml:space="preserve">NO SE PRESENTARON MUERTES MATERNAS DURANTE EL PERIODO </t>
  </si>
  <si>
    <t>NO SE PRESENTARON CASOS DE REINGRESOS DE ESTE TIPO</t>
  </si>
  <si>
    <t>NO SE PRESENTARON CASOS DE MUERTE DE ESTE TIPO</t>
  </si>
  <si>
    <t>NO SE TIENE REPORTE DE EDA</t>
  </si>
  <si>
    <t>NO SE PRESENTARON CASOS</t>
  </si>
  <si>
    <t>NO SE PRESENTARON REINGRESOS DE ESTE TIPO</t>
  </si>
  <si>
    <t>CANCELARON 05 PACIENTES: 04 PORQUE LA EPS NO ENVIÓ EL MATERIAL Y 01QUE DECIDIÓ OPERARSE EN OTRA IPS</t>
  </si>
  <si>
    <t>NO SE PROGRAMARON PROC. QX. DE ESTETIPO</t>
  </si>
  <si>
    <t>CANCELARON 03 PACIENTES: 01 POR RETIRO VOLUNTARIO, 01 PCTE SE OPERÓ EN OTRAS ENTIDAD Y 01 ESPERANDO MATERIAL DE OSTEOSINTESIS POR PARTE DE LA EPS</t>
  </si>
  <si>
    <t>NO SE PRESENTARON REPORTES</t>
  </si>
  <si>
    <t>CANCELARON 09 PACIENTES: 01: ERROR EN LA AUT. DE SERVICIO. 02:NO SE CONTABA CON UCI.  08: PROBLEMAS CON LA CAÑERÍA. 02: NO SE CONTABA CON MICROMOTOR FUNCINANTE</t>
  </si>
  <si>
    <t>ESTE CASO NO ESTUVO EN LOS SERVICIOS DE HOSPITALIZACIÓN, DEBIDO A QUE FUE REMITIDO A NIVEL SUPERIOR</t>
  </si>
  <si>
    <t>NO SE PROGRAMARON PROC. QX. DE ESTE TIPO</t>
  </si>
  <si>
    <t>NO SE PROGRAMARON CX. DE ESTE TIPO</t>
  </si>
  <si>
    <t>I SEM 2018</t>
  </si>
  <si>
    <t>NO HUBO REINGRESOS DE ESTE TIPO</t>
  </si>
  <si>
    <t>NO HUBO MUERTES DE ESTE TIPO</t>
  </si>
  <si>
    <t>NO HUBO ATENCIONES DE ESTE TIPO</t>
  </si>
  <si>
    <t>NO HUBO EVENTOS DE ESTE TIPO</t>
  </si>
  <si>
    <t>NO HUBO REPORTES DE ESTE TIPO</t>
  </si>
  <si>
    <t>EL TIEMPO PROMEDIO ES 19:26 HRS</t>
  </si>
  <si>
    <t>EL TIEMPO PROMEDIO ES DE 17:57</t>
  </si>
  <si>
    <t>NO HUBO CX. DE ESTE TIPO</t>
  </si>
  <si>
    <t>INDICADOR</t>
  </si>
  <si>
    <t>EL 54,2% DE LOS NV FUERON EVENTOS DE PARTO POR CÉSAREA, EN SU MAYORÍA DE EMERGENCIA</t>
  </si>
  <si>
    <t>EL 61% DE LOS NV FUERON EVENTOS DE PARTO POR CÉSAREA, DE LAS CUALES, EL 93% FUERON DE EMERGENCIA</t>
  </si>
  <si>
    <t>40 DE CADA MIL NACIMIENTOS PRESENTA MUERTE PERINATAL</t>
  </si>
  <si>
    <t>30 DE CADA MIL NACIMIENTOS PRESENTA MUERTE PERINATAL</t>
  </si>
  <si>
    <t>AL 100% DE LAS GESTANTES SE LES HACE ASESORÍAS PRE-TEST PARA PREUBAS DE VIH</t>
  </si>
  <si>
    <t>EL 10% DE LOS PACIENTES IDENTIFICADOS POR ANTECEDENTES COMO HIPERTENSOS, FUERON ESTUDIADOS POR ERC</t>
  </si>
  <si>
    <t>EL 15% DE LOS PACIENTES IDENTIFICADOS POR ANTECEDENTES COMO HIPERTENSOS, FUERON ESTUDIADOS POR ERC</t>
  </si>
  <si>
    <t>EL 13% DE LOS PACIENTES IDENTIFICADOS POR ANTECEDENTES COMO DIABETICOS, FUERON ESTUDIADOS POR ERC</t>
  </si>
  <si>
    <t>EL 21% DE LOS PACIENTES IDENTIFICADOS POR ANTECEDENTES COMO DIABETICOS, FUERON ESTUDIADOS POR ERC</t>
  </si>
  <si>
    <t>10 DE CADA 1000 EGRESOS VIVOS EN EL PERÍODO REINGRESARON A LOS SERVICIOS DE HOSPITALIZACIÓN &lt; DE LOS 15 DÍAS POR EL MISMO DIGNÓSTICO O ALGUNO RELACIONADO.</t>
  </si>
  <si>
    <t>08 DE CADA 1000 EGRESOS VIVOS EN EL PERÍODO REINGRESARON A LOS SERVICIOS DE HOSPITALIZACIÓN &lt; DE LOS 15 DÍAS POR EL MISMO DIGNÓSTICO O ALGUNO RELACIONADO.</t>
  </si>
  <si>
    <t>LAS CANCELACIONES ATRIBUIBLES A LA ESE, ESTUVIERON ASOCIADAS CON LA CONTAMINACIÓN DE UN QUIROFANOS POR PROCEDIMIENTO ANTERIOR Y  01 RETIRO VOLUNTARIO AL MOMENTO DE ENTRAR AL QUIROFANO.</t>
  </si>
  <si>
    <t>LAS CANCELACIONES ATRIBUIBLES A LA ESE, ESTUVIERON ASOCIADAS A NO DISPONIBIIDAD EN EL SERVICIO DE UCI Y 01 RETIRO VOLUNTARIO AL MOMENTO DE ENTRAR AL QUIROFANO.</t>
  </si>
  <si>
    <t>INDICADOR DENTRO DE LOS MÍNIMOS ESTANDARIZADOS POR EL MINISTERIO DE SALUD</t>
  </si>
  <si>
    <t>ESTE TIEMPO PROMEDIO ESTÁ ESTIMADO POR LA DEFINICIÓN DEL INDICADOR, PERO EL TRIAGE EN LA ESE ES REALIZADO POR EL MEDICO GENERAL QUIEN HACE EL TRABAJO DE LA CONSULTA INICIAL, ESTAMOS TRABAJANDO EN LA MEJORA DEL PROCESO.</t>
  </si>
  <si>
    <t>LA MAYORÍA DE LOS USUARIOS QUE RECIBEN ATENCIÓN EN LA ESE RECOMENDARÍAN NUESTROS SERVICIOS</t>
  </si>
  <si>
    <t>LA MAYORÍA DE LOS USUARIOS QUE RECIBEN SERVICIOS EN LA ESE ESTÁN SATISFECHOS CON LA ATENCIÓN BRINDADA</t>
  </si>
  <si>
    <t xml:space="preserve">DE ESTAS TRES ATENCIONE 02 FALLECIERON, UNA EN EL SERVICIO DE CUIDADOS INTENSIVOS Y LA SEGUNDA ANTE DE LAS 48 HRS DE SU INGRESO; EL TERCER CASO FUE REMITIDO A UCI EXTERNA. </t>
  </si>
  <si>
    <t>EL PACIENTE FALLECIÓ ANTES DE LAS 48 HRS ANTES, POSTERIOR A SU INGRESO.</t>
  </si>
  <si>
    <t>EL 74% DE LOS NV FUERON EVENTOS DE PARTO POR CÉSAREA, DE LAS CUALES, EL 94% FUERON DE EMERGENCIA</t>
  </si>
  <si>
    <t>20 DE CADA MIL NACIMIENTOS SE DESENCADENA EN UN VENTO DE MUERTE PERINATAL</t>
  </si>
  <si>
    <t>A) PCTE. REMITIDA DE SAN JUAN DE URABÁ, CON NEUMONIA, EN ESPERA DE RESULTADO DE NECROPSIA.  (EMDISALUD)                                             B) PCTE. REMITIDA DE MONTELIBANO DE POS PARTO INMEDIATO CON CIFRAS TENSINALES ELEVADAS (PREECLAMPSIA SEVERA). (COMFACOR)</t>
  </si>
  <si>
    <t>NO HUBO REINGRESOS DE ESTE TIPO, SIN EMBARGO, SE REMITIÓ UNO A UCI PEDIATRICA (PPNA)</t>
  </si>
  <si>
    <t>NO HUBO MUERTES DE ESTE TIPO, SIN EMBARGO, SE REMITIERON A NIVELES SUPERIORES (UCIP O UCIN)  07 PACIENTES, DE LOS CUALES 05 CORRESPONDEN A NUEVA EPS Y 01 A PPNA, INCLUIDA EN EL INDICADOR ANTERIOR (P.1.8)</t>
  </si>
  <si>
    <t>EL 16% DE LOS PACIENTES IDENTIFICADOS POR ANTECEDENTES COMO HIPERTENSOS, FUERON ESTUDIADOS POR ERC</t>
  </si>
  <si>
    <t>EL 31% DE LOS PACIENTES IDENTIFICADOS POR ANTECEDENTES COMO DIABETICOS, FUERON ESTUDIADOS POR ERC</t>
  </si>
  <si>
    <t>30 DE CADA MIL DÍAS DE VENTILADOR MECANICO EN UCI, REPORTAN NUEVOS CASOS DE NEUMONIA ASOCIADAS A VENTILADOR</t>
  </si>
  <si>
    <t>26 DE CADA MIL DÍAS DE CATETER URINARIO EN UCI, REPORTAN NUEVOS CASOS DE INFECCIÓN DEL TRACTO URINARIO ASOCIADAS A CATETÉTER</t>
  </si>
  <si>
    <t>58 DE CADA MIL DÍAS DE CATETER CENTRAL EN UCI, REPORTAN NUEVOS CASOS DE INFECCIÓN DEL TORRENTE SANGUINEO  ASOCIADAS A CATETÉTER</t>
  </si>
  <si>
    <t>SE CADA MIL INGRESOS A TRAVÉS DEL SERVICIO DE URGENCIAS SE PRESENTA EN PROMEDIO 01 CAÍDA. ESTA FUE EN EL SERVICIO DE URG. PEDIATRICA.</t>
  </si>
  <si>
    <t>NO SE PRESENTARON CANCELACIONES ATRIBUIBLES A LA ESE, SINO A ORDENES MEDICAS, DADA LA CONDICIÓN CLÍNICA DEL PACIENTE O INHERENTES A DIFICULTADES PROPIAS DEL PACIENTE.</t>
  </si>
  <si>
    <t xml:space="preserve">EL TIEMPO PROMEDIO DE ESPERA PARA LA TOMA DE ECOGRAFÍA DURANTE EL MES FUE DE 6:45 HRS </t>
  </si>
  <si>
    <t>EL 61% DE LOS NV FUERON EVENTOS DE PARTO POR CÉSAREA, DE LAS CUALES, EL 92% FUERON DE EMERGENCIA. LOS MOTIVOS QUE DESENCADENARON AL EVENTO DE LA CESAREA ESTUVIERON RELACIONADOS CON: HIPERTENSIÓN GESTACIONAL, PREECLAMPSIA E HIPERTENSIÓN MATERNA, 19%; ATENCIÓN POR CESÁREA ANTERIOR, 8% Y ATENCIÓN PARA ESTERILIZACIÓN, 7%</t>
  </si>
  <si>
    <t>40 DE CADA MIL NACIMIENTOS SE DESENCADENA EN UN EVENTO DE MUERTE PERINATAL. SE EVIDENCIARON 02 CASOS DE CERO CONTROL PRENATAL Y UN PORCENTAJE CONSIDERABLE CON POCOS CONTROLES PRENATALES (ENTRE 1 Y 3 CONTROLES)</t>
  </si>
  <si>
    <t>NO HUBO REINGRESOS DE ESTE TIPO, SIN EMBARGO, SE REMITIÓ UNO A UCI NEONATAL (PPNA)</t>
  </si>
  <si>
    <t>NO HUBO MUERTES DE ESTE TIPO, SIN EMBARGO, SE REMITIERON A NIVELES SUPERIORES (UCIP O UCIN)  07 PACIENTES, DE LOS CUALES 05 CORRESPONDEN 02  NUEVA EPS, 01 CAJACOPI, 01 COMPARTA, 01 COMFACOR Y 02 A PPNA.</t>
  </si>
  <si>
    <t>AL 100% DE LAS GESTANTES SE LES HACE ASESORÍAS PRE-TEST PARA PRUEBAS DE VIH Y SU RESPECTIVO ACOMPAÑAMIENTO POR PARTE DEL PERSONAL DE ASESORIA (PSICOLOGIA).</t>
  </si>
  <si>
    <t>NO HUBO ATENCIONES DE ESTE TIPO, TAMPOCO ATENCIONES DE GESTANTES CON VIH</t>
  </si>
  <si>
    <t>EL 13% DE LOS PACIENTES IDENTIFICADOS POR ANTECEDENTES COMO HIPERTENSOS, FUERON ESTUDIADOS POR ERC. SE EVIDENCIÓ EN MUCHOS CASOS HIPERTENSIÓN  NO CONTROLADA,POR LO QUE SE SUGIERE A LAS EPS'SHACER MAYOR SEGUIMIENTO A ESTE TIPO DE POBLACIÓN A TRAVÉS DE SUS PROGRAMAS DE PYP.</t>
  </si>
  <si>
    <t>EL 21% DE LOS PACIENTES IDENTIFICADOS POR ANTECEDENTES COMO DIABETICOS, FUERON ESTUDIADOS POR ERC. DE ELLOS, EL 37% CONSULTARON POR COMPLICACIONES DIABÉTICAS, COMO PIE DIABÉTICO, ADEMÁS DE HIPERTENSOS. EN TOTAL 48 PACINETES FUERON IDENTIFICADOS COMO HIPERTENSOS Y DIABÉTICOS.</t>
  </si>
  <si>
    <t>23 DE CADA MIL DÍAS DE VENTILADOR MECANICO EN UCI, REPORTAN NUEVOS CASOS DE NEUMONIA ASOCIADAS A VENTILADOR</t>
  </si>
  <si>
    <t>04 DE CADA MIL DÍAS DE CATETER URINARIO EN UCI, REPORTAN NUEVOS CASOS DE INFECCIÓN DEL TRACTO URINARIO ASOCIADAS A CATETÉTER</t>
  </si>
  <si>
    <t>03 DE CADA MIL DÍAS DE CATETER CENTRAL EN UCI, REPORTAN NUEVOS CASOS DE INFECCIÓN DEL TORRENTE SANGUINEO  ASOCIADAS A CATETÉTER</t>
  </si>
  <si>
    <t>PCTE. PRESENTÓ CRISIS CONVULSIVA EN ESPERA DE LA ATENCIÓN POR PARTE DE NEUROLOGO. CASO ESTÁ EN OFICINA DE SEGURIDAD DEL PACIENTE PARA ANALISIS.</t>
  </si>
  <si>
    <t xml:space="preserve">SE PRESENTÓ UN CASO, QUE SE DESENCADENÓ EN UN ABORTO </t>
  </si>
  <si>
    <t>14 DE CADA 1000 EGRESOS VIVOS EN EL PERÍODO REINGRESARON A LOS SERVICIOS DE HOSPITALIZACIÓN &lt; DE LOS 15 DÍAS POR EL MISMO DIGNÓSTICO O ALGUNO RELACIONADO. 04 CASOS FUERON OBSTETRICOS.</t>
  </si>
  <si>
    <t>SE REPORTÓ UN CASO DE DENGUE GRAVE (MENOR DE EDAD) QUE FALLECIÓ A LAS 11:10 HRS, DEBIDO A SUS MALAS CONDICIONES. PCTE VENEZOLANO, QUE  HABÍA ACUDIDO A PRIMER NIVEL, DONDE LO MANDAN PARA LA CASA CON ANALGÉSICOS Y POSTERIORMENTE CONSULTA NUEVAMENTE Y ES REMITIDO A ESTE CENTRO ASISTENCIAL, EN MUY MALAS CONDICIONES, A LA HORA DE SUS INGRESO HACE UN PARO Y ES INTUBADO, VALORADO POR INTENSIVISTA E HIZO APOYO DEL TRATAMIENTO. EN ESPERA DE ANALISIS DE CASO CON REVISIÓN DE NECROPSIA.</t>
  </si>
  <si>
    <t>CANCELACIONES POR FALTA DE INSUMO COMO TUBO PARA INTUBACIÓN Y TUBO ESPIRALADA Y UN TERCERO POR NO DISPONIBILIDADDE QUIROFANO EN EL MOMENTO. DOS FUERON REPORGRAMADOS Y EL OTRO REMITIDO A CENTRO DE MAYOR COMPLEJIDAD PARA REALIZACIÓN DEL PROCEDIMIENTO.</t>
  </si>
  <si>
    <t>MEJORAR EL INDICADOR, REVISAR Y AJUSTAR EL PROCESO.</t>
  </si>
  <si>
    <t>02 PACIENTES SUFRIERON CAÍDAS EN LOS SERVICIOS DE HOSPITALIZACIÓN</t>
  </si>
  <si>
    <t>01 PACIENTE SUFRIÓ CAÍDA EN EL SERVICIO DE URGENCIAS ADULTO</t>
  </si>
  <si>
    <t xml:space="preserve">EL TIEMPO PROMEDIO DE ESPERA PARA LA TOMA DE ECOGRAFÍA DURANTE EL MES FUE DE 3:02 HRS </t>
  </si>
  <si>
    <t>EL 92% DE LOS USUARIOS ATENDIDOS  ESTUVIERONSAISFECHOS CON LA ATENCIÓN PRESTADA, SE SEGUIRÁ TRABAJANDO EN PRO DE LA ATENCIÓN INTEGRA Y EL TRATO HUMANIZADO.</t>
  </si>
  <si>
    <t>EL 94% DE LOS USUARIOS RECOMENDARÍAN NUESTRA ESE COMO CENTRO DE ATENCIÓN EN SALUD.</t>
  </si>
  <si>
    <t>Todos los reportes de los resultados, están dentro de los límites normales, un resultado máximo de 9,92</t>
  </si>
  <si>
    <t>NO SE PRESENTARON MUERTES MATERNAS DURANTE LA VIGENCIA, PERO ADEMÁS NO HUBO REMISIONES A NIVEL SUPERIOR POR REQUERIMIENTO DE UCI.</t>
  </si>
  <si>
    <t>NO HUBO REINGRESOS DE ESTE TIPO, SIN EMBARGO, SE REMITIÓ UNO A CLINICA CENTRAL</t>
  </si>
  <si>
    <t>NO HUBO MUERTES DE ESTE TIPO,  SIN EMBARGO, SE REMITIÓ UNO A CLINICA CENTRAL</t>
  </si>
  <si>
    <t>SE PRESENTÓ UN CASO QUE FUE REMITIDO A UCI DE CLINICA EVALUAMOS, POR NO DISPONIBILIDAD DE CAMA EN LA ESE. SE PRESENTARON 45 CASOS DE DENGUE CLÁSICO</t>
  </si>
  <si>
    <t>NO HUBO PACIENTES CONFIRMADOS COMO DENGUE GRAVE. SE NOTIFCARON 32 DENGUE CLÁSICO.</t>
  </si>
  <si>
    <t>EL 11% DE LOS PACIENTES IDENTIFICADOS POR ANTECEDENTES COMO HIPERTENSOS, FUERON ESTUDIADOS POR ERC. SE EVIDENCIÓ EN MUCHOS CASOS HIPERTENSIÓN  NO CONTROLADA,POR LO QUE SE SUGIERE A LAS EPS'S HACER MAYOR SEGUIMIENTO A ESTE TIPO DE POBLACIÓN A TRAVÉS DE SUS PROGRAMAS DE PYP.</t>
  </si>
  <si>
    <t>EL 12% DE LOS PACIENTES IDENTIFICADOS POR ANTECEDENTES COMO HIPERTENSOS, FUERON ESTUDIADOS POR ERC. SE EVIDENCIÓ EN MUCHOS CASOS HIPERTENSIÓN  NO CONTROLADA,POR LO QUE SE SUGIERE A LAS EPS'S HACER MAYOR SEGUIMIENTO A ESTE TIPO DE POBLACIÓN A TRAVÉS DE SUS PROGRAMAS DE PYP.</t>
  </si>
  <si>
    <t xml:space="preserve">EL 23% DE LOS PACIENTES IDENTIFICADOS POR ANTECEDENTES COMO DIABETICOS, FUERON ESTUDIADOS POR ERC. </t>
  </si>
  <si>
    <t>EL 16% DE LOS PACIENTES IDENTIFICADOS POR ANTECEDENTES COMO DIABETICOS, FUERON ESTUDIADOS POR ERC.</t>
  </si>
  <si>
    <t>EL 71,1% DE LOS NV FUERON EVENTOS DE PARTO POR CÉSAREA.</t>
  </si>
  <si>
    <t>EL 57,5% DE LOS NV FUERON EVENTOS DE PARTO POR CÉSAREA.</t>
  </si>
  <si>
    <t>20 DE CADA MIL NACIMIENTOS SE DESENCADENA EN UN EVENTO DE MUERTE PERINATAL. SE EVIDENCIARON  CASOS DE CERO CONTROL PRENATAL Y UN PORCENTAJE CONSIDERABLE CON POCOS CONTROLES PRENATALES (ENTRE 1 Y 3 CONTROLES)</t>
  </si>
  <si>
    <t>80 DE CADA MIL NACIMIENTOS SE DESENCADENA EN UN EVENTO DE MUERTE PERINATAL. SE EVIDENCIARON CASOS DE CERO CONTROL PRENATAL Y UN PORCENTAJE CONSIDERABLE CON POCOS CONTROLES PRENATALES (ENTRE 1 Y 3 CONTROLES)</t>
  </si>
  <si>
    <t>SE PRESENTÓ UN CASO DE MUERTE MATERNA, CON 25 SEMANAS DE GESTA POR ECOGRAFÍA,  MULTIGESTANTE, POCO CONTROLES PRENATALES. TRASLADADA A CIRUGÍA PARA REALIZACIÓN DE CESAREA DE EMERGENCIA POR PRESENTAR PLACENTA PREVIA, ABUNDANTE SANGRADO Y TAQUICARDIA FETAL.</t>
  </si>
  <si>
    <t>A TODO RN SE LE REALIZA EL TAMIZAJE DE TSH</t>
  </si>
  <si>
    <t>A TODA GESTANTE SE LE REALIZA LA ASESORIA PRE TEST.</t>
  </si>
  <si>
    <t>14 DE CADA MIL DÍAS DE CATETER URINARIO EN UCI, REPORTAN NUEVOS CASOS DE INFECCIÓN DEL TRACTO URINARIO ASOCIADAS A CATETÉTER</t>
  </si>
  <si>
    <t>PCTE. PRESENTÓ EVENTO EN EL SERVICIO DE CUIDADOS INTENSIVOS</t>
  </si>
  <si>
    <t>SE PRESENTAN 6 REINGRESOS POR LA MISMA PATOLOGÍA DE CADA 10.000 INGRESOS</t>
  </si>
  <si>
    <t>SE PRESENTAN 1 REINGRESO POR LA MISMA PATOLOGÍA DE CADA 1000 EGRESOS VIVOS EN EL PERIODO</t>
  </si>
  <si>
    <t xml:space="preserve">LAS CAUSAS NO ATRIBUIBLES AL PCTE ESTVIERON RELAIONADAS CON LA CONDICIÓN MEDICA DEL MEDICO ESPECIALISTA Y POR NO DISPONIBILIAD DE QUIROFANO. </t>
  </si>
  <si>
    <t>ESTÁ POR FUERA DE LOS LIMITES MÍNIMOS ESTABLECIDOS POR EL MINISSTERIO DE SALUD</t>
  </si>
  <si>
    <t>ESTÁ DENTRO LOS LÍMITES MÍNIMOS ESTABLECIDOS POR EL MINISTERIO DE SALUD</t>
  </si>
  <si>
    <t xml:space="preserve">EL TIEMPO PROMEDIO DE ESPERA PARA LA TOMA DE ECOGRAFÍA DURANTE EL MES FUE DE 16:16 HRS </t>
  </si>
  <si>
    <t xml:space="preserve">EL TIEMPO PROMEDIO DE ESPERA PARA LA TOMA DE ECOGRAFÍA DURANTE EL MES FUE DE 17:00 HRS </t>
  </si>
  <si>
    <t>EL 85% DE LOS USUARIOS ATENDIDOS  ESTUVIERONSAISFECHOS CON LA ATENCIÓN PRESTADA, SE SEGUIRÁ TRABAJANDO EN PRO DE LA ATENCIÓN INTEGRA Y EL TRATO HUMANIZADO.</t>
  </si>
  <si>
    <t>EL 90% DE LOS USUARIOS RECOMENDARÍAN NUESTRA ESE COMO CENTRO DE ATENCIÓN EN SALUD.</t>
  </si>
  <si>
    <t>TOTAL 2018</t>
  </si>
  <si>
    <t>ANALISIS</t>
  </si>
  <si>
    <t>IND FEB 2019</t>
  </si>
  <si>
    <t>IND ENE 2019</t>
  </si>
  <si>
    <t>60 de cada 100 Nacidos Vivos, fueron por partos por cesárea, de los cuales el 100% fueron de emergencias, debido al cese de actividadades en el período. Las cesáreas estuvieron relacionadas con Preeclampsia, Cesárea anterior y Ruptura prematura de membranas.</t>
  </si>
  <si>
    <t>68 de cada 100 Nacidos Vivos, fueron por partos por cesárea, de los cuales el 95% fueron de emergencias y el 05% cesáreas electivas. Las principales diagnósticos relacionados con el hecho vital fueron: Hipertensión gestacional, Preeclamsia, Cesárea anterior, Placenta previa, Infección genital y VIH.</t>
  </si>
  <si>
    <t>11 de cada 1000 nacimientos se desencadenaron en muerte perinatal.</t>
  </si>
  <si>
    <t>No se presentaron casos de muertes de muerte materna en el período</t>
  </si>
  <si>
    <t>La muerte materna que se presentó fue de una joven de 20 años de edad, reingreso Pos parto vaginal, que fallece por  EMBOLIA DE COAGULO SANGUINEO.</t>
  </si>
  <si>
    <t>28 de cada 1000 nacimientos se desencadenaron en muerte perinatal durante el período: una esfacelación en tórax y miembros superiores,  un acabalgamiento de los huesos del cráneo y piel: macerado, un doble circular de cordón muy justa al cuello   y uno con petequias en toda la piel</t>
  </si>
  <si>
    <t>Al total de nacimientos la ESE le toma la muestra de TSH Neonatal cada mes</t>
  </si>
  <si>
    <t>No se presentaron reingresos por IRA en menores de 05 años durante el período</t>
  </si>
  <si>
    <t>No se preentaron muertes por IRA en menores de 05 años</t>
  </si>
  <si>
    <t>No se presentaron muertes por EDA en menores de 05 años</t>
  </si>
  <si>
    <t>A todas las gestantes de la ESE se les presta asesoría pres-test para prueba de VIH (ELISA)</t>
  </si>
  <si>
    <t>No se identificaron niños menores de 18 meses con diagnóstico de VIH/Sida hijos de madres con VIH/Sida</t>
  </si>
  <si>
    <t>El caso que se presentó duró hospitalizado 11 días.</t>
  </si>
  <si>
    <t>No se presentaron casos de Dengue Grave en el período.</t>
  </si>
  <si>
    <t>El 13% de los pacientes atendidos en la ESE en el período evaluado tienen como antecedente HTA y fueron estudiados para ERC</t>
  </si>
  <si>
    <t>El 11% de los pacientes atendidos en la ESE en el período evaluado tienen como antecedente HTA y fueron estudiados para ERC</t>
  </si>
  <si>
    <t>01 de cada 05 pacientes con Diabetes Mellitus, fue estudiado para ERC</t>
  </si>
  <si>
    <t>El 20% de los pacientes atendidos con Diabetes Mellitus, fueron estudiados para ERC.</t>
  </si>
  <si>
    <t>No se presentaron casos de endometritis pos parto vaginal, en el período.</t>
  </si>
  <si>
    <t>No se presentaron casos de endometritis pos cesárea, en el período.</t>
  </si>
  <si>
    <t>No se presentaron caídas en los servicios hospitalarios durante el período.</t>
  </si>
  <si>
    <t>Uno de cada 1000 pacientes atendidos en el servicio de Urgencias sufre caídas, esto debido a que no existe la cultura de "barandas arriba", para lo cual, ya se inició proceso de educación al personal que presta sus servicios en la ESE, a los usuarios atendidos y a sus acompañantes.</t>
  </si>
  <si>
    <t>No se presentaron caídas en el servicio de consulta externa durante el período.</t>
  </si>
  <si>
    <t>No se presentaron caídas en los servicios de apoyo diagnóstico durante el período.</t>
  </si>
  <si>
    <t>No se presentaron ventos adversos relacionados con la administración de medicamentos en hospitalización.</t>
  </si>
  <si>
    <t>El caso que se presentó, fue un menor al cual se le aplicó Gentamicina y presentó cianosis y tonicidad generalizada, al cual inmediatamente se le aplicó solución salina dando respuesta positiva. Seguridad del paciente sigue con la socialización de practicas seguras asociadas al uso de medicamentos (10 correctos).</t>
  </si>
  <si>
    <t>Paciente con diagnostico Hemorragia cerebral e Hipertensión arterial, con requerimiento de UCI que recibe medicamento equivocado, a  lo cual presentó bradicardia y disminuyeron los niveles de tension arterial y el pulso; posteriormente se le admisnitró adrenalina (10 ampollas en 100 cc de solución salina). El medicamento fue comprado y traído por el acompañante del pacicnte y quien lo recibe en el servicio de urgencias no se percata que sea el medicamento correcto. Seguridad del paciente inició socialización de practicas seguras asociadas al uso de medicamentos (10 correctos).</t>
  </si>
  <si>
    <t>No hay reporte de casos presentados</t>
  </si>
  <si>
    <t>El caso presentado, fue en el servicio de Cuidados Intensivos, la cual ingresó al programa Clínica de Heridas, donde recibió el tratamiento adecuado y al momento del egreso, presentó mejoría.</t>
  </si>
  <si>
    <t>Los dos casos presentados, fueron reingresos No evitables, relacinados con ISO y dengue, el cual es considerado como una recurrencia propia de la enfermedad, sin embargo por los días de estancias en la primera atención se hace el reporte.</t>
  </si>
  <si>
    <t>No se presentaon reingresos al servicio de urgencias en la misma institución antes de 72 horas con el mismo diagnóstico de egreso</t>
  </si>
  <si>
    <t>El caso estuvo connotación de interés a nivel de salud pública, por ser abuso sexual, se le aplicó los protocolos pertinentes</t>
  </si>
  <si>
    <t>01 caso relacionado con ISO y un segundo caso relacionado con la muerte materna descrita en el indicador  P.1.5</t>
  </si>
  <si>
    <t>No hubo programación de ciurgía debido al cese de actividades.</t>
  </si>
  <si>
    <t>El principal motivo de cancelación estuvo relacionado con el cese de actividades por parte de los medicos especialistas que prestan sus servicios en la ESE, en segundo instancia la inoportunidad en la entrega del material qx para la realización del procedmientos y finalmente la falta de ropa para cirugía y no disponibilidad de cama en UCI. Se estableció un plan de mejora en pro fortalecer la eficiencia del servicio.</t>
  </si>
  <si>
    <t>Tiempo dentro de los parametros establecidos por la normatividad vigente.</t>
  </si>
  <si>
    <t>Tiempo fuera de los parametros establecidos por la normatividad vigente. Se debe estudiar el caso y establecer acciones de mejora.</t>
  </si>
  <si>
    <t>Tiempo dentro de los parametros establecidos por la normatividad vigente. Esta especialidad incluye Ginecoobstetricia, las cuales deben ser separadas para analisis estadísticos. Esto ha sido informado, estamos atentos a la gestión por parte del área de Sistemas.</t>
  </si>
  <si>
    <t>Tiempo dentro de los parametros establecidos por la normatividad vigente. Esta especialidad incluye Ginecoobstetricia, las cuales deben ser separadas para analisis estadísticos. Esto ha sido informado, estamos atentos a la gestión por parte del área de Sistemas. La oportunidad mejoró debido a la estabilización contractual de los medicos especialistas que prestan sus servicios en la ESE.</t>
  </si>
  <si>
    <t xml:space="preserve">Tiempo dentro de los parametros establecidos por la normatividad vigente. </t>
  </si>
  <si>
    <t>Tiempo fuera de los parametros establecidos por la normatividad vigente. Mejoró el resultado del indicador, pero es necesario seguir avanzando hasta llegar a la meta establecida (05 días). La oportunidad mejoró debido a la estabilización contractual de los medicos especialistas que prestan sus servicios en la ESE.</t>
  </si>
  <si>
    <t>Tiempo dentro de los parametros establecidos por la normatividad vigente.  La oportunidad mejoró debido a la estabilización contractual de los medicos especialistas que prestan sus servicios en la ESE.</t>
  </si>
  <si>
    <t>Por cada 1000 dias  ventilador se presentaron 43 casos nuevos de neumonías asociadas a ventilador. Se presume subregistro en los días dispositivos reportados en las planillas del servicio de UCI.</t>
  </si>
  <si>
    <t>Por cada 1000 días catéter urinario en UCI, se presentaron 14 casos nuevos deInfección de tracto urinario. Se presume subregistro en los días dispositivos reportados en las planillas del servicio de UCI.</t>
  </si>
  <si>
    <t>Por cada 1000 dias  ventilador se presentaron 18 casos nuevos de neumonías asociadas a ventilador. Se presume subregistro en los días dispositivos reportados en las planillas del servicio de UCI.</t>
  </si>
  <si>
    <t>No se presentaron casos nuevos, sin embargo, se presume subregistro en los días dispositivos reportados en las planillas del servicio de UCI.</t>
  </si>
  <si>
    <t>El promedio de realización de ecografías durante el período, fue de 21:49 horas, desde la solicitud hasta la realización.</t>
  </si>
  <si>
    <t>El promedio de realización de ecografías durante el período, fue de 15:48 horas, desde la solicitud hasta la realización. Se está haciendo observación para identificar los factores de variabilidad en la oportunidad de realización de los estudios.</t>
  </si>
  <si>
    <t>El tiempo promedio fue de 39 minutos desde la clasificación del Triage II hasta la consulta inicial de Urgencias, sin embargo este valor tiene sesgo, debido a, que el medico de Triage está realizando las indicaciones al paciente, se hace la admisión y se cargan estas órdenes sin hacer el proceso de apertura de HC de ingreso, lo cual al final del ejercicio, nos deja tiempos de espera irreales, afectando el indiador.</t>
  </si>
  <si>
    <t>El tiempo promedio fue de 62 minutos desde la clasificación del Triage II hasta la consulta inicial de Urgencias, sin embargo este valor tiene sesgo, debido a, que el medico de Triage está realizando las indicaciones al paciente, se hace la admisión y se cargan estas órdenes sin hacer el proceso de apertura de HC de ingreso, lo cual al final del ejercicio, nos deja tiempos de espera irreales, afectando el indiador, teniendo en cuenta el alto porcentaje de pacientes que superan las 24 horas en el servicio de Urgencias y que retrasan la atención del nuevo ingreso.</t>
  </si>
  <si>
    <t>No se programaron cirugías de este tipo</t>
  </si>
  <si>
    <t>No hubo encuestas</t>
  </si>
  <si>
    <t>El 93% de los usuarios califican su experiencia en la ESE como "buena" o "muy buena"</t>
  </si>
  <si>
    <t>El 94% de los usuarios "si" o "probablemente si" recomendarían los servicios prestados en la ESE.</t>
  </si>
  <si>
    <t>Este paciente fue programado desde el servicio de hospitalización, debido a,  una caída desde su propia altura.</t>
  </si>
  <si>
    <t>IND MAR 2019</t>
  </si>
  <si>
    <t xml:space="preserve">El riesgo de morir para un feto de más de 500 grs y del recién nacido menor a 7 días de vida en la ESE HSJM durante el mes de Marzo fue  de 22 por 1000 nacidos vivos, mejorando con respecto al indicador del mes de febrero con un incremento en el número de nacidos vivos en este periodo (30%), sin embargo, se observa  un incremento con respecto al indicador del mismo mes, correspondiente al año 2018. 
El riesgo para el trimestre se documentó en 19 por 1000 nacidos vivos, mejorando con respecto al mes de marzo y febrero , pero aún muy por encima de la meta nacional, las estrategias para disminuir este indicador deben ir encaminadas, desde mejorar la oferta de planificación familiar y que las gestantes salgan de la ESE con los métodos de planificación en uso, hasta crear espacios en infraestructura, insumos , recurso humano y dispositivos específicos para atender en especial los casos de recién nacidos con prematurez , una de las principales causas de muerte perinatal y neonatal, así como de garantizar la capacitación permanente y adherencia a guías de atención de la gestante para disminuir aquellos factores de riesgo modificables que favorecen la muerte perinatal y neonatal como infección urinaria, síndromes hipertensivos del embarazo, entre otros, tal como se refiere en el indicador P.1.3 
</t>
  </si>
  <si>
    <t>Durante  el mes Marzo se realizó el tamizaje a todos los recien nacidos, en ninguno de ellos se reportó valores por fuera de los parametros normales.</t>
  </si>
  <si>
    <t>NO SE PRESENTARON MUERTE MATERNAS, y los reportes de morbilidad materna extrema estuvieron relacionadas con: Hipertensión gestacional -Síndrome de hellp, Neumonía e hipotiroidismo en periodo intergenésico.</t>
  </si>
  <si>
    <t>De total de pacientes reportados con dignóstico de egreso IRA (J09 a J22), no se reportaron reingresos dentro de los 20 días después del primer egreso por la misma causa en menores de 5 años.</t>
  </si>
  <si>
    <t>De total de pacientes reportados con dignóstico de egreso IRA (J09 a J22), no se reportaron muertes en menores de 5 años.</t>
  </si>
  <si>
    <t xml:space="preserve">Durante el mes de Marzo de 2019, se realizaron 123 cesáreas en la ESE, de las cuales, 111 (90%), corresponden a Partos por Cesáreas de emergencia y 12 (10%) cesáreas electivas. Para lo que corresponde  a las Cesáreas de emergencia, los diagnósticos relacionado o que desencadenaron el hecho vital fueron: 6,4% Hipertensión Gestacional, 6,4% Ruptura prematura de membranas, 5,5% Preeclampsia, 3,7% Atención materna por cirugía anterior, 3,7% embarazo prolongado 3,7% alto riesgo obstétrico, entre otras. De este total, 03 cumplieron con al menos un criterio de morbilidad materna extrema y se presentaron 04 muertes perinatales y una IVE por malformación congénita. </t>
  </si>
  <si>
    <t>La ESE cuenta con personal capacitado para realización de asesorias relacionadas con realización de pres-test para prueba de VIH (ELISA) a todas las consultante, además de la firma del consentimiento informado para la realización de la misma.</t>
  </si>
  <si>
    <t>Durante el período evaluado no se presentaron casos de pacientes gestantes con VIH.</t>
  </si>
  <si>
    <t>No se presentaron casos de DENGUE GRAVE, durante el período, el reporte confirmatorio indica 15 casos de dengue clásico, de los cuales 9 corresponden a menor de edad y el 67% corresponden a áreas fuera de la zona urbana de Montería (Tierralta, Sahagún, Montelibano y Pueblo Nuevo).</t>
  </si>
  <si>
    <t>El 14% de los pacientes egresados de la ESE, se les identificó como antecedente Hipertensión, de los cuales el 13% fueron estudiados como Renales Crónicos. Se identificó que muchos de estos pacientes son no controlados.</t>
  </si>
  <si>
    <t>El 5% de los pacientes egresados de la ESE, se les identificó como antecedente Diabetes Mellitus, de los cuales el 13% fueron estudiados como Renales Crónicos. Se identificó que muchos de estos pacientes son no controlados.</t>
  </si>
  <si>
    <t>En el servicio de UCI, se presentaron 50 casos por cada 1000 días ventilador de neumonias asociadas a ello.</t>
  </si>
  <si>
    <t>En el servicio de UCI, se presentaron 39 casos por cada 1000 días cateter, de Infección de Tracto Urinario.</t>
  </si>
  <si>
    <t>En el servicio de UCI, se presentaron 46 casos por cada 1000 días cateter, de Infección de Torrente Sanguíneo.</t>
  </si>
  <si>
    <t>El evento reportado, fue una paciente que ingresó con HEMATOMA DE HERIDA QUIRÚRGICA OBSTETRICA, de procedimiento realizado en otra entidad, la cual ingresa a quirófano para laparotomía exploratoria donde se encuentra Quiste axial derecho, además del síndrome anémico.</t>
  </si>
  <si>
    <t>No se presentaron caídas en el servicio de Consulta Externa durante el mes de Marzo de 2019.</t>
  </si>
  <si>
    <t>No se presentaron caídas en los servicios de  Apoyo Diagnóstico el mes de Marzo de 2019.</t>
  </si>
  <si>
    <t>Se presentaron en total 51 cancelaciones durante el mes de Marzo de 2019, de las cuales el 57% son atribuibles a la ESE y/o acuerdo con las EPS's. Las causas identificadas fueron las siguientes: No llegó material de osteosíntesis a tiempo: 10 procedimientos, sobre congestión del área por prolongación de tiempos quirúrgicos: 9 procedimientos, No disponibilidad de ropa quirúrgica: 4 procedimientos, No disponibilidad de cama en UCI: 03 procedimientos, Sala contaminada: 01 procedimiento, paciente mal preparada: 1 procedimiento.</t>
  </si>
  <si>
    <t>Tiempo dentro de los parámetros establecidos por la normatividad vigente, pero es un tiempo muy superior a la vigencia inmediatamente anterior, esto se debe a la reactivación del servicio.</t>
  </si>
  <si>
    <t>Se ha realizado visitas de inspección a servicio y se está analizando el proceso de asignación de citas, incluyendo la organización de agendas con el fin de determinar qué factores están influyendo en tiempos de espera por encima de la norma para así lograr establecer acciones de mejora que ayuden a mejorar el indicador.</t>
  </si>
  <si>
    <t xml:space="preserve">El promedio de realización de ecografías durante el período, fue de 16:23 horas, desde la solicitud hasta la realización. </t>
  </si>
  <si>
    <t>El tiempo promedio fue de 65 minutos desde la clasificación del Triage II hasta la consulta inicial de Urgencias, de acuerdo a lo descrito en el mes inmediatamente anterior, se realizó socialización del tema con los médicos generales del servicio de Urgencia a fin de establecer los motivos que causan el sesgo del dato y tratar de minimizar estos factores.</t>
  </si>
  <si>
    <t>El tiempo transcurrio entre la fecha de solicitud de programación de la Cirugía de Reemplazo de cadera y la fecha de realización, durante el mes de Marzo fue de 10 días.</t>
  </si>
  <si>
    <t>El 95% de los usuarios "si" o "probablemente si" recomendarían los servicios prestados en la ESE.</t>
  </si>
  <si>
    <t>Durante el mes de Abril de 2019, se realizaron 78 cesáreas en la ESE, de las cuales, 69 (88,46%), corresponden a Partos por Cesáreas de emergencia, con diagnósticos relacionado  Hipertensión Gestacional, Ruptura prematura de membranas,  Preeclampsia, Atención materna por cirugía anterior, IVU entre otras. Se presentó 01 muerte perinatales y dos IVE por malformación congénita y Oligohdramnios.</t>
  </si>
  <si>
    <t>El riesgo de morir para un feto de más de 500 grs y del recién nacido menor a 7 días de vida en la ESE HSJM durante el mes de abril fue  de 9 por 1000 nacidos vivos, mejorando con respecto al indicador del mes de marzo con una disminución el número de eventos respecto al mes de marzo.</t>
  </si>
  <si>
    <t>la muerte materna que se presentó fue inderecta, asociada a una obstrucción intestinal. Esta Paciente pertencía a población vulnerale por su condición de extranjera (Venezolana)</t>
  </si>
  <si>
    <t>Durante  el mes Abril se realizó el tamizaje a todos los recien nacidos, en ninguno de ellos se reportó valores por fuera de los parametros normales.</t>
  </si>
  <si>
    <t>De total de pacientes reportados a través de la busqueda activa dentro del programa de SIVIGILA EDA (A080), no se reportaron muertes en menores de 5 años.</t>
  </si>
  <si>
    <t>No se presentaron casos de DENGUE GRAVE, durante el período, el reporte confirmatorio indica 07 casos de dengue clásico. COMPARTA: 01, SALUD VIDA: 02, MUTUAL SER: 02 y EMDISALUD: 02. De los 07 casos,04 fueron pediátricos y 03 en adultos.</t>
  </si>
  <si>
    <t>Durante el mes de abril el 16,12% de la población atendida refiere antecedentes de hipertensión, de los cuales, el 11,79% fueron estudiados como ERC. SAVIA SALUD: 03, AMBUQ: 02, CAJACOPI:07, COMFAMILIAR HUILA: 01, COMPARTA: 18, COOMEVA: 01, COOSALUD: 12, SALUD VIDA: 18, EMDISALUD: 73,  MUTUAL SER: 32, NUEVA EPS: 38, PPNA: 02, INPEC: 02, MEDIMAS: 02</t>
  </si>
  <si>
    <t>En el período evaluado, se identificaron que el 17,05%, de los pacientes con antecedentes de diabetes aplicaron para ERC, del total de 1315 atenciones. SAVIA SALUD:01, AMBUQ: 01, CAJACOPI: 04, PPNA: 02, MEDIMAS: 01, COMPARTA: 04, COOMEVA: 02, COOSALUD: 07, MUTUAL SER: 15, NUEVA EPS: 13, SALUD VIDA: 09, EMDISALUD: 27 e INPEC: 02</t>
  </si>
  <si>
    <t>En el servicio de UCI, se presentaron 36 casos por cada 1000 días ventilador de neumonias asociadas a ello.</t>
  </si>
  <si>
    <t>En el servicio de UCI, se presentaron 25 casos por cada 1000 días cateter, de Infección de Tracto Urinario.</t>
  </si>
  <si>
    <t>En el servicio de UCI, NO se presentaron casos nuevos de Infección de Torrente Sanguíneo.</t>
  </si>
  <si>
    <t>No se presentaron casos de endometritis pos cesárea en el período.</t>
  </si>
  <si>
    <t>No se presentaron caídas en el servicio de urgencias durante el período.</t>
  </si>
  <si>
    <t>De cada 1000 días de estancia en los servicios hospitalarios, se cae 01 paciente al mes. SALUD VIDA: 01, MUTUAL SER: 01, PPNA: 01</t>
  </si>
  <si>
    <t>De cada 1000 días de estancia en los servicios hospitalarios, se cae 0,39 paciente al mes. SALUD VIDA: 01</t>
  </si>
  <si>
    <t>06 de cada 1000 pacientes atendidos en el servicio de Urgencias sufre caídas, esto debido a que no existe la cultura de "barandas arriba", para lo cual, ya se inició proceso de educación al personal que presta sus servicios en la ESE, a los usuarios atendidos y a sus acompañantes. EMDISALUD: 01, NUEVA EPS: 02</t>
  </si>
  <si>
    <t>No se presentaron caídas en el servicio de Consulta Externa durante el mes de abril de 2019.</t>
  </si>
  <si>
    <t>No se presentaron caídas en los servicios de  Apoyo Diagnóstico el mes de abril de 2019.</t>
  </si>
  <si>
    <t>No se presentaron casos en el servicio de urgencias</t>
  </si>
  <si>
    <t>No se presentaron casos en los servicios de hospitalización</t>
  </si>
  <si>
    <t>El Caso presentado de paciente de EMDISALUD, relacionado con reacción a Clindamicina. El paciente presentó DOLOR EN EL PECHO Y DIFICULTAD PARA RESPIRAR, en la investigación se identificó DESCONOCIMIENTO EN LA PREPARACION Y DILUCION del medicamento y posteriormente se realizó retroalimentación con el personal del servicio.</t>
  </si>
  <si>
    <t>Paciente de NUEVA EPS,  HOSPITALIZADO  CON DX DE BACTEREMIA, quien PRESENTA ERITEMA GENERALIZADO ,PALIDEZ , HIPOTONIA, BRADICARDIA Y ERUPCION PAPULAR EN TORAX Y ABDOMEN EN EL MOMENTO DE LA ADMINISTRACION DE CEFOTAXIME. En la investigación se identificó DESCONOCIMIENTO EN LA PREPARACION Y DILUCION del medicamento y posteriormente se realizó retroalimentación con el personal del servicio.</t>
  </si>
  <si>
    <t>No se presentaron casos.</t>
  </si>
  <si>
    <t>Por cada mil días de estancia hospitalaria, se presentó 01 casos de úlceras por presión, todas en la Unidad de Cuidados Intensivos.</t>
  </si>
  <si>
    <t>Del total de egresos vivos en el período, 1,75% reingresaron por causas inherentes a la patología inicial.</t>
  </si>
  <si>
    <t>Del total de atenciones en el servicio de urgencias en el período, 0,53% reingresaron por causas inherentes a la patología inicial.</t>
  </si>
  <si>
    <t>Del total de los 06 casos presentados, 04 NO EVITABLES, 02 EVITABLES. Del tota, 04 COMPLICACIONES QX, con 03 REINTERVENCIONES</t>
  </si>
  <si>
    <t>De los 04 eventos,03 EVITABLES, 01 NO EVITABLE. Categorizadas 03 como COMPLICACIÓN QX, con realización de REINTERVENCIÓN QX.</t>
  </si>
  <si>
    <t xml:space="preserve">El porcentaje de cancelación de cirugías, disminuyó respecto al mes inmediatamente anterior. Las causas  atribuibles a la ESE, se distribuyen de la siguiente manera:No disponibilidad de cama en UCI: 01, La Eps no actualizó la autorización de los procedimientos: 03, Prolongación de tiempos Qx: 07,  No disponibilidad de sangre: 01, Error en la autorización de la Eps: 02. La distribución por EPS es: CAPITAL SALUD: 02, COMPARTA: 03, COOSALUD: 03 y EMDISALUD: 06 casos.
</t>
  </si>
  <si>
    <t xml:space="preserve">El promedio de realización de ecografías durante el período, fue de 16:18 horas, desde la solicitud hasta la realización. </t>
  </si>
  <si>
    <t>En el mes de Abril de 2019, el seguimiento de este indicador fue detallado y minucioso, de acuerdo, a las estrategias planteadas en la reunión con el personal médico del servicio y se logró mejorar el indicador, teniendo datos mucho más consistentes. Es decir, se revisaron cada una de las historias clínicas de ingreso diligenciadas por el médico y se verificó la hora real de atención, teniendo en cuenta que la prioridad es la atención del paciente. El indicador mejoró y pasamos de 65 minutos durante el mes de marzo a 41,54 minutos, es decir 23,46 minutos de diferencia favorable al indicador.</t>
  </si>
  <si>
    <t>El tiempo transcurrio entre la fecha de solicitud de programación de la Cirugía de Reemplazo de cadera y la fecha de realización, durante el mes de Abril fue de 09 días.</t>
  </si>
  <si>
    <t xml:space="preserve">El 95% de los usuarios encuestados califican su experiencia en la ESE como "buena" o "muy buena". Si bien es cierto, la cantidad de encuestas no es significativa, la ESE maneja población homogénea, por lo cual el indicador es consistente. Se están estableciendo acciones de mejora a fin de incrementar el número de encuestas a pacientes atendidos en la ESE. </t>
  </si>
  <si>
    <t xml:space="preserve">El 91,19% de los usuarios encuestados califican su experiencia en la ESE como "buena" o "muy buena". La ESE maneja población homogénea, por lo cual el indicador es consistente. </t>
  </si>
  <si>
    <t>El 89,15% de los usuarios "si" o "probablemente si" recomendarían los servicios prestados en la ESE.</t>
  </si>
  <si>
    <t>Tiempo dentro de los parámetros establecidos por la normatividad vigente.</t>
  </si>
  <si>
    <t>Se revisó el proceso de asignación de la especialidad y se ajustó contractualmente las metas de cumplimiento a fin de mejorar el indicador.</t>
  </si>
  <si>
    <r>
      <t>-</t>
    </r>
    <r>
      <rPr>
        <sz val="8"/>
        <color theme="1"/>
        <rFont val="Arial"/>
        <family val="2"/>
      </rPr>
      <t>       No disponibilidad de cama en UCI: 01</t>
    </r>
  </si>
  <si>
    <t>IND MAYO 2019</t>
  </si>
  <si>
    <t>Durante el mes de mayo, la proporción de partos por césareas fue 67 eventos por cada 100 nacidos vivo. Del total de cesáreas realizadas, el 96,07% fueron de emergencias, con diagnósticos relacionados principales: 30,61%, ATENCION MATERNA POR CICATRIZ UTERINA DEBIDA A CIRUGIA PREVIA, 12,34% HIPERTENCIÓN GESTACIONAL. Se identificó que de este total de cesareas realizadas que el 4% no acudió a control prental y el 60% se realizó entre 1 y 5 controles prenatales, además el 21,51% de estos productos nacieron con bajo peso.</t>
  </si>
  <si>
    <t>NO SE PRESENTARON CASOS DE REINGRESO HOSPITALARIO POR INFECCIÓN RESPIRATORIA AGUDA (IRA) EN MENORES DE 5 AÑOS EN LA VIGENCIA.</t>
  </si>
  <si>
    <t>NO SE PRESENTARON CASOS DE LETALIDAD POR INFECCIÓN RESPIRATORIA AGUDA (IRA) EN MENORES DE 5 AÑOS EN LA VIGENCIA, SIN EMBARGO, SE HICIERON 02 REMISIONES A UCI EXTERNA , UN CASO DE EMDISALUD Y UN CASO DE NUEVA EPS.</t>
  </si>
  <si>
    <t>NO SE PRESENTARON MUERTES MATERNAS EN LA VIGENCIA. La prevalencia de Morbilidad Materna Extrema en la institución, durante el mes de mayo de 2019 es decir aquellos casos de muy alto riesgo obstétrico que estuvieron al borde de la muerte pero sobrevivieron, es de 101 casos por cada 1000 nacimientos. Por cada materna con Morbilidad materna extrema se reportaron en promedio 3 criterios de inclusión, y el 25% de estas tenía más de criterios de complicación. Durante el COVE del mes, se realizó la socialización sobre el sistema de alertas tempranas dentro de los cuales se incluye el evento de Morbilidad materna extrema como estrategia para realizar un abordaje en tiempo real de todas las maternas con alto riesgo de muerte por todos los responsables del sector salud.</t>
  </si>
  <si>
    <t>EN EL LISTADO DE RESULTADOS NO SE EVIDENCIARON REPORTES POR ENCIMA DE LOS PARÁMETROS NORMALES.</t>
  </si>
  <si>
    <t>A TODAS LAS GESTANTES SE LES REALIZÓ ASESORÍA PRE-TES PARA PRUEBA DE VIH (ELISA)</t>
  </si>
  <si>
    <t>NO SE PRESENTARON NIÑOS Y NIÑAS MENORES DE 18 MESES , HIJOS DE MADRE VIVIENDO CON VIH, CON DIAGNÓSTICO DE VIH</t>
  </si>
  <si>
    <t>NO SE PRESENTARON CASOS DE DENGUE GRAVE EN EL PERÍODO.</t>
  </si>
  <si>
    <t>Durante el mes de abril el 17,24% de la población atendida refiere antecedentes de hipertensión, de los cuales, el 11,06% fueron estudiados como ERC. EMDISALUD: 11, PPNA: 03, MUTUAL SER: 02, SALUDVIDA: 01, COMPARTA: 01, MEDIMAS: 01 y SAVIASALUD: 01</t>
  </si>
  <si>
    <t>En el período evaluado, se identificaron que el 16,44%, de los pacientes con antecedentes de diabetes aplicaron para ERC. EMDISALUD: 06, AMBUQ:01, PPNA:02, COMPARTA:01, SAVIASALUD:01</t>
  </si>
  <si>
    <t>En el servicio de UCI, se presentaron 07 casos por cada 1000 días ventilador de neumonias asociadas a ello.</t>
  </si>
  <si>
    <t>En el servicio de UCI, se presentaron 05 casos por cada 1000 días cateter, de Infección de Tracto Urinario.</t>
  </si>
  <si>
    <t>En el servicio de UCI, se presentaron 15 casos nuevos de Infección de Torrente Sanguíneo.</t>
  </si>
  <si>
    <t>No se presentaron casos de caídas en el servicio de consulta externa.</t>
  </si>
  <si>
    <t>No se presentaron casos de caídas en el servicio en el servicio de Apoyo Diagnóstico y Complementación Terapéutica.</t>
  </si>
  <si>
    <t xml:space="preserve">Se evidencia NO adherencia al protocolo de administración segura de medicamentos. Se socializa con el personal de enfermería sobre la preparación y dilución de medicamentos en las áreas de hospitalización. Se hará seguimiento y evaluación el próximo mes. EMDISALUD:02, SALUDVIDA:01 y SS ANTIOQUIA:01  </t>
  </si>
  <si>
    <t>Se evidencia NO adherencia al protocolo de administración segura de medicamentos. Se socializa con el personal de enfermería sobre la preparación y dilución de medicamentos en las áreas de urgencias. Se hará seguimiento y evaluación el próximo mes. EMDISALUD: 02</t>
  </si>
  <si>
    <t>Se realiza valoración médica donde no se evidencian lesiones aparentes , se realiza educación al paciente y familiar sobre el riesgo de caídas , se educa al personal de enfermería y medico sobre el riesgo de caídas , se  reporta el evento adverso en forma. SALUDVIDA:01</t>
  </si>
  <si>
    <t>De los 03 casos presentados, 02 corresponden a Urgencias adulto y 01 Urgencias Pediátricas. Se realizaron las valoraciones médicas pertienentes y educación a los pacientes y familiares sobre el tema en mención. SALUDVIDA: 01, NUEVA EPS:02</t>
  </si>
  <si>
    <t>En el período, por cada 1000 días de estancia de  los pacientes en los servicios de hospitlización, 01 desarrolló úlcera por presión. Se realizó educación sobre la importancia de los cambios de posición , escala de braden para la prevención de las úlceras por presión.</t>
  </si>
  <si>
    <t>Del total de Reingresos, 02 fueron NO evitables y 01 evitable, derivada de un retiro voluntario. No estuvieron relacionadas con Reintervención y/o complicación Qx.</t>
  </si>
  <si>
    <t>Por cada 100 egresos vivos en la vigencia, 1,93 fueron reingresos de pacientes hospitalizados en menos de 15 días, 02 evitables y 09 no evitables. 04 complicaciones quirúrgicas de las cuales 02 fueron infecciones en sitio operatorio, analizadas en comité de seguridad del paciente.</t>
  </si>
  <si>
    <t>Se programó hasta el día 07 de Mayo, período en el cual no se presentaron cancelaciones. El resto del mes los quirófanos iniciaron proceso de remodelación.</t>
  </si>
  <si>
    <t>No hubo progrmación de este tipo</t>
  </si>
  <si>
    <t>Se revisó el proceso de asignación de la especialidad y se ajustó contractualmente las metas de cumplimiento a fin de mejorar el indicador. La diferencia a favor respecto al mes anterior fue de 02 días.</t>
  </si>
  <si>
    <t>En el mes de Mayo de 2019, el seguimiento de este indicador fue detallado y minucioso, de acuerdo, a las estrategias planteadas en la reunión con el personal médico del servicio y se logró mejorar el indicador, teniendo datos mucho más consistentes. Es decir, se revisaron cada una de las historias clínicas de ingreso diligenciadas por el médico y se verificó la hora real de atención, teniendo en cuenta que la prioridad es la atención del paciente. El indicador mejoró y pasamos de 42 minutos durante el mes de abril a 31 minutos, es decir 23,46 minutos en la vigencia evaluada.</t>
  </si>
  <si>
    <t>Tiempo promedio de espera para la toma de Ecografía en el período: 19:21 hrs, diferencia de días calendario entre la fecha en la que se realiza la toma de la Ecografía y la fecha en la que se solicita.</t>
  </si>
  <si>
    <t xml:space="preserve">La tasa de incidencia de mortalidad perinatal se reportó en 50 por 1000 nacidos vivos durante el mes de mayo aumentando con respecto al mes de abril sin embargo es importante tener en cuenta que la tendencia permanece similar con respecto a los otros meses, pero el número de nacidos vivos disminuyo onsiderablemente secundario a que los quirófanos se encuentran actualmente en proceso de remodelación y por lo tanto el número de partos atendidos por cesárea disminuyó considerablemente. 
Durante el mes de mayo se realizó la capacitación del componente de maternidad segura con respecto a las principales causas de Morbimortalidad en el área de maternidad, que finalmente inciden en la mortalidad perinatal y neonatal.  un primer caso 1067960604 : paciente con 8 controles prenatales, EAPB : Mutual Ser , primigestante con trombosis de arterias uterinas, y ausencia de movimientos fetales por más de dos días , lo cual sugiere mala calidad en los controles prenatales en cuanto a la educación en signos y síntomas de alarma, fallas en la realización de eco dúplex de flujo venoso y arterial de arterias umbilicales que podría sugerir el riesgo de la gestante , se establece la necesidad de implementar estrategias en los controles prenatales en cuanto a la educación en signos y síntomas de alarma, se debe por la ESE realizar ajuste de las causas de mortalidad en la plataforma de RUAF, y dejar evidencia en Historia clínica de la oferta a planificación familiar antes del egreso Hospitalario. 
Un segundo caso: 1039068287 paciente multigestante con muerte intrauterina secundaria a defecto congénito mayor encefalocele, quien no recibió asesorías preconcepcionales, no planificación familiar, no control prenatal, por lo tanto, no se realiza un diagnóstico y abordaje terapéutico con micronutrientes como acido fólico que disminuye el riesgo de este tipo de malformaciones, no se realiza ecografía diagnostica dado que no asiste a lo controle prenatales. ingresa con feto muerto a la ESE, por lo cual se plantea la necesidad de verificar las estrategias que realiza la EPS EMDISALUD, para búsqueda de mujeres en edad reproductiva que no asisten a los programas de planificación familiar o consulta preconcepcional, educación a la comunidad en factores de riesgo obstétrico. 
Un tercer caso : 1003433123 paciente con embarazo de alto riesgo de 23 semanas de gestación de la EAPB : Mutual Ser, sin controles prenatales ni ecográficos quien ingresa como urgencia vital con prolapso de cordón el cual no fue detectado en el 1 nivel y a pesar de ser detectado en la ESE no se procede a realizar tratamiento quirúrgico de emergencia , se espera reporte ecográfico que se demora en realizarse hasta 4 horas después y aun sin embargo en feto se encontraba vivo, se procede a realizar inducción del parto, la probabilidad de sobrevida del feto era mínima dado su prematurez extrema y bajo peso ( peso 510 grs talla 29 cms ). 
Un cuarto caso: 823275502021989 paciente venezolana con EAPB Nueva EPS, con 33 semanas de embarazo, pobre control prenatal (# 4), no se observa seguimiento a la gestante inhaderente a los controles prenatales, no se observa detalle ecográfico que reporte la patología de riesgo de la placenta, con el fin de haberla estratificado y enviado a alto riesgo obstétrico, ingresa a la ESE con código rojo , se envía inmediatamente a cirugía de emergencia pero el feto estaba obitado, paciente pasa a UCI es reportada como Morbilidad materna extrema y egresa sin complicaciones. Peso: 1.820 Grs. Talla: 44 cms.
</t>
  </si>
  <si>
    <t>NO SE PRESENTARON REPORTE DE EDA EN LA VIGNCIA</t>
  </si>
  <si>
    <t>El área de atención del usuario tiene por objetivo suministrar información veraz y oportuna al usuario de acuerdo a la necesidad en datos o de orientación que requiera y aplica desde la solicitud de la información, consulta u orientación requerida hasta la entrega de la misma al usuario de la E.S.E. Hospital San Jerónimo, por tal razón para el mes de Mayo se dejó un registro de atención de 1.361 Usuarios. El proceso de comunicación es permanente y por lo tanto los flujos de información se dan en cada momento de la relación interpersonal, con los gestos, la mirada y las palabras. Adicionalmente se realiza mediante charlas socialización sobre los derechos y deberes a 480 usuarios hospitalizados y consulta externa.</t>
  </si>
  <si>
    <t>TOTAL</t>
  </si>
  <si>
    <t>ind</t>
  </si>
  <si>
    <t>IND JUNIO 2019</t>
  </si>
  <si>
    <t>TOTAL I SEM</t>
  </si>
  <si>
    <t>INDICADOR I SEM</t>
  </si>
  <si>
    <t>ANALISIS JUNIO 2019</t>
  </si>
  <si>
    <r>
      <t xml:space="preserve">En el mes de junio de 2019, por motivos de remodelación del área de cirugía, el 98,8% de las cesáreas realizadas fueron de emergencia. Como principales diagnósticos secundarios tenemos:  El </t>
    </r>
    <r>
      <rPr>
        <b/>
        <sz val="8"/>
        <rFont val="Arial"/>
        <family val="2"/>
      </rPr>
      <t>22,1%:</t>
    </r>
    <r>
      <rPr>
        <sz val="8"/>
        <rFont val="Arial"/>
        <family val="2"/>
      </rPr>
      <t xml:space="preserve"> </t>
    </r>
    <r>
      <rPr>
        <b/>
        <sz val="8"/>
        <rFont val="Arial"/>
        <family val="2"/>
      </rPr>
      <t xml:space="preserve">atencion materna por cicatriz uterina debida a cirugia previa, </t>
    </r>
    <r>
      <rPr>
        <sz val="8"/>
        <rFont val="Arial"/>
        <family val="2"/>
      </rPr>
      <t>el</t>
    </r>
    <r>
      <rPr>
        <b/>
        <sz val="8"/>
        <rFont val="Arial"/>
        <family val="2"/>
      </rPr>
      <t xml:space="preserve"> 11,6%: hipertesión gestacional, 9,1%: preeclampsia, 6,5%: ruptura prematura de las membranas, </t>
    </r>
    <r>
      <rPr>
        <sz val="8"/>
        <rFont val="Arial"/>
        <family val="2"/>
      </rPr>
      <t>también encontramos casos de</t>
    </r>
    <r>
      <rPr>
        <b/>
        <sz val="8"/>
        <rFont val="Arial"/>
        <family val="2"/>
      </rPr>
      <t xml:space="preserve"> anemia, infecciones vaginales, oligohidramnios y esterilización. </t>
    </r>
    <r>
      <rPr>
        <sz val="8"/>
        <rFont val="Arial"/>
        <family val="2"/>
      </rPr>
      <t>Del total de partos atendidos, el 66,91% (91 dividido entre 136 nacidos vivos), se realizó entre 0 y 5 controles prenatales, de acuerdo a la información reportada en el aplicativo web RUAF-ND, lo cual también nos afecta los indicadores de muerte perinatal, por el incremento del riesgo.</t>
    </r>
  </si>
  <si>
    <r>
      <t xml:space="preserve">En el mes de julio de 2019, por motivos de remodelación del área de cirugía la cual teminó la última semana del mes, el 99,1% de las cesáreas realizadas fueron de emergencia. De acuerdo a los análisis de meses anteriores sigue la misma secuencia de diagnósticos secundarios: </t>
    </r>
    <r>
      <rPr>
        <b/>
        <sz val="8"/>
        <rFont val="Arial"/>
        <family val="2"/>
      </rPr>
      <t xml:space="preserve">atencion materna por cicatriz uterina debida a cirugia previa,  hipertesión gestacional,  preeclampsia, ruptura prematura de las membranas, anemia, infecciones vaginales, oligohidramnios y esterilización. </t>
    </r>
    <r>
      <rPr>
        <sz val="8"/>
        <rFont val="Arial"/>
        <family val="2"/>
      </rPr>
      <t>Del total de partos atendidos, el 66,6% (112 dividido entre 168 nacidos vivos), se realizó entre 0 y 5 controles prenatales, de acuerdo a la información reportada en el aplicativo web RUAF-ND, lo cual también nos afecta los indicadores de muerte perinatal, por el incremento del riesgo.</t>
    </r>
  </si>
  <si>
    <t>ANALISIS KARINA</t>
  </si>
  <si>
    <r>
      <t>ANALISIS KARINA (</t>
    </r>
    <r>
      <rPr>
        <sz val="10"/>
        <rFont val="Arial"/>
        <family val="2"/>
      </rPr>
      <t>POR CADA 12 CASOS DE PACIENTES QUE TUVIERON CRITERIOS DE INCLUSIÓN DE MORBILIDAD MATERNA EXTREMA, 01 MATERNA MUERE)</t>
    </r>
  </si>
  <si>
    <t>IND JULIO 2019</t>
  </si>
  <si>
    <t>De los tres eventos presentados, 02 fueron producto de partos vaginales y 01 de cesáreas</t>
  </si>
  <si>
    <t>IND AGOSTO 2019</t>
  </si>
  <si>
    <t>IND SEPTIEMBRE 2019</t>
  </si>
  <si>
    <t>Resultado ene 2020</t>
  </si>
  <si>
    <t>Resultado feb 2020</t>
  </si>
  <si>
    <t>Resultado mar 2020</t>
  </si>
  <si>
    <t>ESE HOSPITAL SAN JERÓNIMO DE MONTERÍA</t>
  </si>
  <si>
    <t>PLANEACIÓN Y SISTEMA DE GESTIÓN DE LA CALIDAD</t>
  </si>
  <si>
    <t>SISTEMA DE INFORMACIÓN</t>
  </si>
  <si>
    <t>NOMBRE</t>
  </si>
  <si>
    <t>CARGO</t>
  </si>
  <si>
    <t>FIRMA</t>
  </si>
  <si>
    <t>NEY PATRICIA OROZCO QUIÑONEZ</t>
  </si>
  <si>
    <t>Profesional Universitario Información</t>
  </si>
  <si>
    <t>LUIS FERNANDO GARCÍA SALDARRIAGA</t>
  </si>
  <si>
    <t>Subgerente Asistencial</t>
  </si>
  <si>
    <t>Fuente de información:Planeación y Gestión de la Calidad - Dinamica Gerencial</t>
  </si>
  <si>
    <t>Resultado jun 2020</t>
  </si>
  <si>
    <t>Resultado may 2020</t>
  </si>
  <si>
    <t>Resultado abr 2020</t>
  </si>
  <si>
    <t>Resultado jul 2020</t>
  </si>
  <si>
    <t>Número total de pacientes atendidos en el servicio de Apoyo Diagnóstico y Complementación Terapéutica que sufren caídas</t>
  </si>
  <si>
    <t>Resultado ago 2020</t>
  </si>
  <si>
    <t>REPORTE DE RESOLUCIÓN 256 DE 2016  - Período: agosto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</si>
</sst>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164" formatCode="_-* #,##0.00\ _€_-;\-* #,##0.00\ _€_-;_-* &quot;-&quot;??\ _€_-;_-@_-"/>
    <numFmt numFmtId="165" formatCode="0.000"/>
    <numFmt numFmtId="166" formatCode="0.00000"/>
    <numFmt numFmtId="167" formatCode="0.0%"/>
    <numFmt numFmtId="168" formatCode="0.0000"/>
    <numFmt numFmtId="169" formatCode="0.0"/>
  </numFmts>
  <fonts count="16" x14ac:knownFonts="1">
    <font>
      <sz val="11"/>
      <color theme="1"/>
      <name val="Calibri"/>
      <family val="2"/>
      <scheme val="minor"/>
    </font>
    <font>
      <sz val="9"/>
      <color indexed="81"/>
      <name val="Tahoma"/>
      <family val="2"/>
    </font>
    <font>
      <b/>
      <sz val="9"/>
      <color indexed="81"/>
      <name val="Tahoma"/>
      <family val="2"/>
    </font>
    <font>
      <sz val="8"/>
      <name val="Arial Narrow"/>
      <family val="2"/>
    </font>
    <font>
      <b/>
      <sz val="8"/>
      <name val="Arial Narrow"/>
      <family val="2"/>
    </font>
    <font>
      <sz val="8"/>
      <color theme="1"/>
      <name val="Arial Narrow"/>
      <family val="2"/>
    </font>
    <font>
      <sz val="11"/>
      <color theme="1"/>
      <name val="Calibri"/>
      <family val="2"/>
      <scheme val="minor"/>
    </font>
    <font>
      <b/>
      <sz val="8"/>
      <name val="Arial"/>
      <family val="2"/>
    </font>
    <font>
      <sz val="8"/>
      <name val="Arial"/>
      <family val="2"/>
    </font>
    <font>
      <sz val="8"/>
      <color theme="1"/>
      <name val="Arial"/>
      <family val="2"/>
    </font>
    <font>
      <sz val="8"/>
      <color theme="1"/>
      <name val="Calibri"/>
      <family val="2"/>
      <scheme val="minor"/>
    </font>
    <font>
      <b/>
      <sz val="11"/>
      <color theme="1"/>
      <name val="Calibri"/>
      <family val="2"/>
      <scheme val="minor"/>
    </font>
    <font>
      <sz val="8"/>
      <color rgb="FF000000"/>
      <name val="Verdana"/>
      <family val="2"/>
    </font>
    <font>
      <sz val="20"/>
      <name val="Arial"/>
      <family val="2"/>
    </font>
    <font>
      <sz val="10"/>
      <name val="Arial"/>
      <family val="2"/>
    </font>
    <font>
      <b/>
      <sz val="16"/>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cellStyleXfs>
  <cellXfs count="307">
    <xf numFmtId="0" fontId="0" fillId="0" borderId="0" xfId="0"/>
    <xf numFmtId="0" fontId="3"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17"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7"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17"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1" xfId="0" applyNumberFormat="1" applyFont="1" applyBorder="1" applyAlignment="1">
      <alignment horizontal="center" vertical="center"/>
    </xf>
    <xf numFmtId="1" fontId="3" fillId="4"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6"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0" fillId="7" borderId="0" xfId="0" applyFill="1"/>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 fontId="7" fillId="0" borderId="1" xfId="0" applyNumberFormat="1" applyFont="1" applyFill="1" applyBorder="1" applyAlignment="1">
      <alignment horizontal="center" vertical="center" wrapText="1"/>
    </xf>
    <xf numFmtId="17" fontId="7" fillId="0" borderId="1" xfId="0" applyNumberFormat="1" applyFont="1" applyFill="1" applyBorder="1" applyAlignment="1">
      <alignment horizontal="center" vertical="center"/>
    </xf>
    <xf numFmtId="17" fontId="7" fillId="0" borderId="0" xfId="0" applyNumberFormat="1" applyFont="1" applyFill="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9" fillId="0" borderId="1"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1"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left" vertical="center" wrapText="1"/>
    </xf>
    <xf numFmtId="0" fontId="3" fillId="7"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0" xfId="0" applyFont="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4" fontId="12" fillId="0" borderId="0" xfId="0" applyNumberFormat="1" applyFont="1"/>
    <xf numFmtId="2" fontId="0" fillId="0" borderId="0" xfId="0" applyNumberFormat="1"/>
    <xf numFmtId="17" fontId="7" fillId="0" borderId="7" xfId="0" applyNumberFormat="1" applyFont="1" applyFill="1" applyBorder="1" applyAlignment="1">
      <alignment horizontal="center" vertical="center" wrapText="1"/>
    </xf>
    <xf numFmtId="0" fontId="0" fillId="0" borderId="0" xfId="0" applyAlignment="1">
      <alignment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0" xfId="0" applyNumberFormat="1" applyFont="1" applyFill="1"/>
    <xf numFmtId="0" fontId="8" fillId="7" borderId="1" xfId="0" applyFont="1" applyFill="1" applyBorder="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6" borderId="1" xfId="0" applyFont="1" applyFill="1" applyBorder="1" applyAlignment="1">
      <alignment horizontal="center" vertical="center"/>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1" fontId="10" fillId="0" borderId="1" xfId="0" applyNumberFormat="1" applyFont="1" applyFill="1" applyBorder="1" applyAlignment="1">
      <alignment horizontal="center" vertical="center"/>
    </xf>
    <xf numFmtId="17" fontId="11" fillId="0" borderId="1" xfId="0" applyNumberFormat="1" applyFont="1" applyBorder="1" applyAlignment="1">
      <alignment horizontal="center" vertical="center" wrapText="1"/>
    </xf>
    <xf numFmtId="0" fontId="8" fillId="5" borderId="1" xfId="0" applyFont="1" applyFill="1" applyBorder="1" applyAlignment="1">
      <alignment horizontal="left" vertical="center" wrapText="1"/>
    </xf>
    <xf numFmtId="0" fontId="11" fillId="0" borderId="1" xfId="0" applyFont="1" applyBorder="1" applyAlignment="1">
      <alignment horizontal="center" wrapText="1"/>
    </xf>
    <xf numFmtId="0" fontId="0" fillId="0" borderId="1" xfId="0" applyBorder="1" applyAlignment="1">
      <alignment vertical="center" wrapText="1"/>
    </xf>
    <xf numFmtId="0" fontId="8" fillId="5" borderId="1" xfId="0" applyFont="1" applyFill="1" applyBorder="1" applyAlignment="1">
      <alignment horizontal="left"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5" fillId="0" borderId="0" xfId="0" applyFont="1" applyAlignment="1">
      <alignment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wrapText="1"/>
    </xf>
    <xf numFmtId="0" fontId="8" fillId="5" borderId="1" xfId="0" applyFont="1" applyFill="1" applyBorder="1" applyAlignment="1">
      <alignment horizontal="left"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2" fontId="3" fillId="6" borderId="2" xfId="0" applyNumberFormat="1" applyFont="1" applyFill="1" applyBorder="1" applyAlignment="1">
      <alignment horizontal="center" vertical="center"/>
    </xf>
    <xf numFmtId="2" fontId="3" fillId="6" borderId="3"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4" borderId="2" xfId="0" applyNumberFormat="1" applyFont="1" applyFill="1" applyBorder="1" applyAlignment="1">
      <alignment horizontal="center" vertical="center"/>
    </xf>
    <xf numFmtId="2" fontId="3" fillId="4" borderId="3"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2" fontId="3" fillId="5" borderId="2" xfId="0" applyNumberFormat="1" applyFont="1" applyFill="1" applyBorder="1" applyAlignment="1">
      <alignment horizontal="center" vertical="center"/>
    </xf>
    <xf numFmtId="2" fontId="3" fillId="5" borderId="3"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1" fontId="3" fillId="6" borderId="2" xfId="0" applyNumberFormat="1" applyFont="1" applyFill="1" applyBorder="1" applyAlignment="1">
      <alignment horizontal="center" vertical="center"/>
    </xf>
    <xf numFmtId="1" fontId="3" fillId="6" borderId="3"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2" fontId="3" fillId="7" borderId="2" xfId="0" applyNumberFormat="1" applyFont="1" applyFill="1" applyBorder="1" applyAlignment="1">
      <alignment horizontal="center" vertical="center"/>
    </xf>
    <xf numFmtId="2" fontId="3" fillId="7" borderId="3" xfId="0" applyNumberFormat="1"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165" fontId="3" fillId="6" borderId="2" xfId="0" applyNumberFormat="1" applyFont="1" applyFill="1" applyBorder="1" applyAlignment="1">
      <alignment horizontal="center" vertical="center"/>
    </xf>
    <xf numFmtId="165" fontId="3" fillId="6" borderId="3" xfId="0" applyNumberFormat="1" applyFont="1" applyFill="1" applyBorder="1" applyAlignment="1">
      <alignment horizontal="center" vertical="center"/>
    </xf>
    <xf numFmtId="165" fontId="3" fillId="5" borderId="2" xfId="0" applyNumberFormat="1" applyFont="1" applyFill="1" applyBorder="1" applyAlignment="1">
      <alignment horizontal="center" vertical="center"/>
    </xf>
    <xf numFmtId="165" fontId="3" fillId="5" borderId="3"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166" fontId="3" fillId="6" borderId="2" xfId="0" applyNumberFormat="1" applyFont="1" applyFill="1" applyBorder="1" applyAlignment="1">
      <alignment horizontal="center" vertical="center"/>
    </xf>
    <xf numFmtId="166" fontId="3" fillId="6" borderId="3"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165" fontId="3" fillId="2" borderId="2"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5" fontId="3" fillId="3" borderId="3" xfId="0" applyNumberFormat="1" applyFont="1" applyFill="1" applyBorder="1" applyAlignment="1">
      <alignment horizontal="center" vertical="center"/>
    </xf>
    <xf numFmtId="0" fontId="4" fillId="0" borderId="4" xfId="0" applyFont="1" applyBorder="1" applyAlignment="1">
      <alignment horizontal="center" vertical="top"/>
    </xf>
    <xf numFmtId="0" fontId="4" fillId="0" borderId="5" xfId="0" applyFont="1" applyBorder="1" applyAlignment="1">
      <alignment horizontal="center" vertical="top"/>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3" fillId="5"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8" fillId="0" borderId="2" xfId="2" applyFont="1" applyFill="1" applyBorder="1" applyAlignment="1">
      <alignment horizontal="center" vertical="center" wrapText="1"/>
    </xf>
    <xf numFmtId="9" fontId="8" fillId="0" borderId="3" xfId="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wrapText="1"/>
    </xf>
    <xf numFmtId="0" fontId="0" fillId="0" borderId="6" xfId="0" applyBorder="1" applyAlignment="1">
      <alignment horizontal="center" wrapText="1"/>
    </xf>
    <xf numFmtId="1" fontId="8" fillId="0" borderId="2"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67" fontId="8" fillId="0" borderId="2" xfId="2" applyNumberFormat="1" applyFont="1" applyFill="1" applyBorder="1" applyAlignment="1">
      <alignment horizontal="center" vertical="center" wrapText="1"/>
    </xf>
    <xf numFmtId="167" fontId="8" fillId="0" borderId="3" xfId="2"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166" fontId="8" fillId="0" borderId="3" xfId="0" applyNumberFormat="1" applyFont="1" applyFill="1" applyBorder="1" applyAlignment="1">
      <alignment horizontal="center" vertical="center" wrapText="1"/>
    </xf>
    <xf numFmtId="168" fontId="8" fillId="0" borderId="2" xfId="0" applyNumberFormat="1" applyFont="1" applyFill="1" applyBorder="1" applyAlignment="1">
      <alignment horizontal="center" vertical="center" wrapText="1"/>
    </xf>
    <xf numFmtId="168" fontId="8" fillId="0" borderId="3" xfId="0" applyNumberFormat="1" applyFont="1" applyFill="1" applyBorder="1" applyAlignment="1">
      <alignment horizontal="center" vertical="center" wrapText="1"/>
    </xf>
    <xf numFmtId="9" fontId="8" fillId="0" borderId="2" xfId="2" applyNumberFormat="1" applyFont="1" applyFill="1" applyBorder="1" applyAlignment="1">
      <alignment horizontal="center" vertical="center" wrapText="1"/>
    </xf>
    <xf numFmtId="9" fontId="8" fillId="0" borderId="3" xfId="2" applyNumberFormat="1" applyFont="1" applyFill="1" applyBorder="1" applyAlignment="1">
      <alignment horizontal="center" vertical="center" wrapText="1"/>
    </xf>
    <xf numFmtId="164" fontId="8" fillId="0" borderId="2" xfId="1" applyNumberFormat="1" applyFont="1" applyFill="1" applyBorder="1" applyAlignment="1">
      <alignment horizontal="center" vertical="center" wrapText="1"/>
    </xf>
    <xf numFmtId="164" fontId="8" fillId="0" borderId="3" xfId="1"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0" fontId="8" fillId="0" borderId="2" xfId="2" applyNumberFormat="1" applyFont="1" applyFill="1" applyBorder="1" applyAlignment="1">
      <alignment horizontal="center" vertical="center"/>
    </xf>
    <xf numFmtId="10" fontId="8" fillId="0" borderId="3" xfId="2"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3" fillId="7"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8" fillId="0"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9" fontId="8" fillId="0" borderId="1" xfId="2" applyFont="1" applyFill="1" applyBorder="1" applyAlignment="1">
      <alignment horizontal="center" vertical="center"/>
    </xf>
    <xf numFmtId="0" fontId="8" fillId="0" borderId="1" xfId="0" applyFont="1" applyFill="1" applyBorder="1" applyAlignment="1">
      <alignment horizontal="center"/>
    </xf>
    <xf numFmtId="1" fontId="8" fillId="0" borderId="2" xfId="0" applyNumberFormat="1" applyFont="1" applyFill="1" applyBorder="1" applyAlignment="1">
      <alignment horizontal="center" vertical="center"/>
    </xf>
    <xf numFmtId="1"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9" fontId="8" fillId="0" borderId="2" xfId="2" applyFont="1" applyFill="1" applyBorder="1" applyAlignment="1">
      <alignment horizontal="center" vertical="center"/>
    </xf>
    <xf numFmtId="9" fontId="8" fillId="0" borderId="3" xfId="2" applyFont="1" applyFill="1" applyBorder="1" applyAlignment="1">
      <alignment horizontal="center" vertical="center"/>
    </xf>
    <xf numFmtId="1" fontId="8" fillId="0" borderId="2" xfId="2" applyNumberFormat="1" applyFont="1" applyFill="1" applyBorder="1" applyAlignment="1">
      <alignment horizontal="center" vertical="center"/>
    </xf>
    <xf numFmtId="1" fontId="8" fillId="0" borderId="3" xfId="2" applyNumberFormat="1" applyFont="1" applyFill="1" applyBorder="1" applyAlignment="1">
      <alignment horizontal="center" vertical="center"/>
    </xf>
    <xf numFmtId="169" fontId="8" fillId="0" borderId="2" xfId="2" applyNumberFormat="1" applyFont="1" applyFill="1" applyBorder="1" applyAlignment="1">
      <alignment horizontal="center" vertical="center"/>
    </xf>
    <xf numFmtId="169" fontId="8" fillId="0" borderId="3" xfId="2" applyNumberFormat="1" applyFont="1" applyFill="1" applyBorder="1" applyAlignment="1">
      <alignment horizontal="center" vertical="center"/>
    </xf>
    <xf numFmtId="167" fontId="8" fillId="0" borderId="2" xfId="2" applyNumberFormat="1" applyFont="1" applyFill="1" applyBorder="1" applyAlignment="1">
      <alignment horizontal="center" vertical="center"/>
    </xf>
    <xf numFmtId="167" fontId="8" fillId="0" borderId="3" xfId="2"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165" fontId="8" fillId="0" borderId="2" xfId="0" applyNumberFormat="1" applyFont="1" applyFill="1" applyBorder="1" applyAlignment="1">
      <alignment horizontal="center" vertical="center"/>
    </xf>
    <xf numFmtId="165" fontId="8" fillId="0" borderId="3"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168" fontId="8" fillId="0" borderId="3" xfId="0" applyNumberFormat="1" applyFont="1" applyFill="1" applyBorder="1" applyAlignment="1">
      <alignment horizontal="center" vertical="center"/>
    </xf>
    <xf numFmtId="9" fontId="8" fillId="0" borderId="2" xfId="2" applyNumberFormat="1" applyFont="1" applyFill="1" applyBorder="1" applyAlignment="1">
      <alignment horizontal="center" vertical="center"/>
    </xf>
    <xf numFmtId="9" fontId="8" fillId="0" borderId="3" xfId="2" applyNumberFormat="1" applyFont="1" applyFill="1" applyBorder="1" applyAlignment="1">
      <alignment horizontal="center" vertical="center"/>
    </xf>
    <xf numFmtId="164" fontId="8" fillId="0" borderId="2" xfId="1" applyNumberFormat="1" applyFont="1" applyFill="1" applyBorder="1" applyAlignment="1">
      <alignment horizontal="center" vertical="center"/>
    </xf>
    <xf numFmtId="164" fontId="8" fillId="0" borderId="3" xfId="1"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166" fontId="8" fillId="0" borderId="3"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6" borderId="1" xfId="0" applyFont="1" applyFill="1" applyBorder="1" applyAlignment="1">
      <alignment horizontal="center" vertical="center"/>
    </xf>
    <xf numFmtId="9" fontId="8" fillId="0" borderId="7" xfId="2" applyFont="1" applyFill="1" applyBorder="1" applyAlignment="1">
      <alignment horizontal="center" vertical="center"/>
    </xf>
    <xf numFmtId="2" fontId="8" fillId="0" borderId="8" xfId="0" applyNumberFormat="1" applyFont="1" applyFill="1" applyBorder="1" applyAlignment="1">
      <alignment horizontal="center" vertical="center"/>
    </xf>
    <xf numFmtId="2" fontId="8" fillId="0" borderId="6"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xf>
    <xf numFmtId="0" fontId="8" fillId="0" borderId="7" xfId="0" applyFont="1" applyFill="1" applyBorder="1" applyAlignment="1">
      <alignment horizontal="center"/>
    </xf>
    <xf numFmtId="169" fontId="8" fillId="0" borderId="2" xfId="0" applyNumberFormat="1" applyFont="1" applyFill="1" applyBorder="1" applyAlignment="1">
      <alignment horizontal="center" vertical="center"/>
    </xf>
    <xf numFmtId="169" fontId="8" fillId="0" borderId="3"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10" fontId="0" fillId="0" borderId="1" xfId="2"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9" fontId="0" fillId="0" borderId="1" xfId="2" applyFont="1" applyBorder="1" applyAlignment="1">
      <alignment horizontal="center" vertical="center" wrapText="1"/>
    </xf>
    <xf numFmtId="10" fontId="0" fillId="0" borderId="2" xfId="2" applyNumberFormat="1" applyFont="1" applyBorder="1" applyAlignment="1">
      <alignment horizontal="center" vertical="center" wrapText="1"/>
    </xf>
    <xf numFmtId="10" fontId="0" fillId="0" borderId="3" xfId="2" applyNumberFormat="1" applyFont="1" applyBorder="1" applyAlignment="1">
      <alignment horizontal="center" vertical="center" wrapText="1"/>
    </xf>
    <xf numFmtId="2" fontId="0" fillId="0" borderId="2" xfId="0" applyNumberFormat="1" applyBorder="1" applyAlignment="1">
      <alignment horizontal="center" vertical="center" wrapText="1"/>
    </xf>
    <xf numFmtId="2"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9" fontId="0" fillId="0" borderId="2" xfId="2" applyFont="1" applyBorder="1" applyAlignment="1">
      <alignment horizontal="center" vertical="center" wrapText="1"/>
    </xf>
    <xf numFmtId="9" fontId="0" fillId="0" borderId="3" xfId="2" applyFont="1" applyBorder="1" applyAlignment="1">
      <alignment horizontal="center" vertical="center" wrapText="1"/>
    </xf>
    <xf numFmtId="1" fontId="0" fillId="0" borderId="2" xfId="0" applyNumberFormat="1" applyBorder="1" applyAlignment="1">
      <alignment horizontal="center" vertical="center" wrapText="1"/>
    </xf>
    <xf numFmtId="1" fontId="0" fillId="0" borderId="3" xfId="0" applyNumberFormat="1" applyBorder="1" applyAlignment="1">
      <alignment horizontal="center" vertical="center" wrapText="1"/>
    </xf>
    <xf numFmtId="169" fontId="0" fillId="0" borderId="2" xfId="0" applyNumberFormat="1" applyBorder="1" applyAlignment="1">
      <alignment horizontal="center" vertical="center" wrapText="1"/>
    </xf>
    <xf numFmtId="169" fontId="0" fillId="0" borderId="3" xfId="0" applyNumberFormat="1" applyBorder="1" applyAlignment="1">
      <alignment horizontal="center" vertical="center" wrapText="1"/>
    </xf>
    <xf numFmtId="0" fontId="8"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0" xfId="0" applyFont="1" applyBorder="1" applyAlignment="1">
      <alignment horizontal="left" vertical="center" wrapText="1"/>
    </xf>
    <xf numFmtId="0" fontId="11" fillId="0" borderId="1" xfId="0" applyFont="1" applyBorder="1" applyAlignment="1">
      <alignment horizont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5" fillId="0" borderId="11" xfId="0" applyFont="1" applyBorder="1" applyAlignment="1">
      <alignment horizontal="center" wrapText="1"/>
    </xf>
    <xf numFmtId="0" fontId="15" fillId="0" borderId="12" xfId="0" applyFont="1" applyBorder="1" applyAlignment="1">
      <alignment horizontal="center" wrapText="1"/>
    </xf>
    <xf numFmtId="0" fontId="15" fillId="0" borderId="13" xfId="0" applyFont="1" applyBorder="1" applyAlignment="1">
      <alignment horizontal="center" wrapText="1"/>
    </xf>
    <xf numFmtId="0" fontId="11" fillId="0" borderId="14" xfId="0" applyFont="1" applyBorder="1" applyAlignment="1">
      <alignment horizontal="center" wrapText="1"/>
    </xf>
    <xf numFmtId="0" fontId="11" fillId="0" borderId="0" xfId="0" applyFont="1" applyBorder="1" applyAlignment="1">
      <alignment horizontal="center" wrapText="1"/>
    </xf>
    <xf numFmtId="0" fontId="11" fillId="0" borderId="15" xfId="0" applyFont="1" applyBorder="1" applyAlignment="1">
      <alignment horizontal="center" wrapText="1"/>
    </xf>
    <xf numFmtId="0" fontId="11" fillId="0" borderId="16"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cellXfs>
  <cellStyles count="5">
    <cellStyle name="Millares" xfId="1" builtinId="3"/>
    <cellStyle name="Millares [0] 2" xfId="3" xr:uid="{38BD82A5-79D5-42DB-90CC-D74FD086801F}"/>
    <cellStyle name="Moneda [0] 2" xfId="4" xr:uid="{08931733-EC91-4501-AC9D-F855EB35C75D}"/>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390525</xdr:colOff>
      <xdr:row>4</xdr:row>
      <xdr:rowOff>180975</xdr:rowOff>
    </xdr:to>
    <xdr:pic>
      <xdr:nvPicPr>
        <xdr:cNvPr id="2" name="1 Imagen">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l="37623" t="14798" r="36588" b="47686"/>
        <a:stretch/>
      </xdr:blipFill>
      <xdr:spPr bwMode="auto">
        <a:xfrm>
          <a:off x="0" y="0"/>
          <a:ext cx="1152525" cy="9429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485775</xdr:colOff>
      <xdr:row>7</xdr:row>
      <xdr:rowOff>76200</xdr:rowOff>
    </xdr:from>
    <xdr:to>
      <xdr:col>6</xdr:col>
      <xdr:colOff>247650</xdr:colOff>
      <xdr:row>13</xdr:row>
      <xdr:rowOff>76200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1409700"/>
          <a:ext cx="28098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9</xdr:col>
      <xdr:colOff>628650</xdr:colOff>
      <xdr:row>11</xdr:row>
      <xdr:rowOff>27050</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1333500"/>
          <a:ext cx="2152650" cy="78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209551</xdr:rowOff>
    </xdr:from>
    <xdr:to>
      <xdr:col>1</xdr:col>
      <xdr:colOff>771525</xdr:colOff>
      <xdr:row>0</xdr:row>
      <xdr:rowOff>847725</xdr:rowOff>
    </xdr:to>
    <xdr:pic>
      <xdr:nvPicPr>
        <xdr:cNvPr id="2" name="1 Imagen">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srcRect l="37623" t="14798" r="36588" b="47686"/>
        <a:stretch/>
      </xdr:blipFill>
      <xdr:spPr bwMode="auto">
        <a:xfrm>
          <a:off x="228600" y="209551"/>
          <a:ext cx="1485900" cy="63817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57151</xdr:colOff>
      <xdr:row>85</xdr:row>
      <xdr:rowOff>152400</xdr:rowOff>
    </xdr:from>
    <xdr:to>
      <xdr:col>3</xdr:col>
      <xdr:colOff>733425</xdr:colOff>
      <xdr:row>85</xdr:row>
      <xdr:rowOff>657225</xdr:rowOff>
    </xdr:to>
    <xdr:pic>
      <xdr:nvPicPr>
        <xdr:cNvPr id="5" name="Imagen 4">
          <a:extLst>
            <a:ext uri="{FF2B5EF4-FFF2-40B4-BE49-F238E27FC236}">
              <a16:creationId xmlns:a16="http://schemas.microsoft.com/office/drawing/2014/main" id="{72A7CD8C-664F-4A3E-846C-EE84345F0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6" y="41452800"/>
          <a:ext cx="143827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95251</xdr:colOff>
      <xdr:row>86</xdr:row>
      <xdr:rowOff>66675</xdr:rowOff>
    </xdr:from>
    <xdr:to>
      <xdr:col>3</xdr:col>
      <xdr:colOff>647701</xdr:colOff>
      <xdr:row>86</xdr:row>
      <xdr:rowOff>704850</xdr:rowOff>
    </xdr:to>
    <xdr:pic>
      <xdr:nvPicPr>
        <xdr:cNvPr id="7" name="Imagen 6">
          <a:extLst>
            <a:ext uri="{FF2B5EF4-FFF2-40B4-BE49-F238E27FC236}">
              <a16:creationId xmlns:a16="http://schemas.microsoft.com/office/drawing/2014/main" id="{F313D3B0-D0B2-4E90-8806-9190B9FAE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6" y="42167175"/>
          <a:ext cx="13144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104776</xdr:rowOff>
    </xdr:from>
    <xdr:to>
      <xdr:col>0</xdr:col>
      <xdr:colOff>1495425</xdr:colOff>
      <xdr:row>3</xdr:row>
      <xdr:rowOff>152400</xdr:rowOff>
    </xdr:to>
    <xdr:pic>
      <xdr:nvPicPr>
        <xdr:cNvPr id="2" name="1 Imagen">
          <a:extLst>
            <a:ext uri="{FF2B5EF4-FFF2-40B4-BE49-F238E27FC236}">
              <a16:creationId xmlns:a16="http://schemas.microsoft.com/office/drawing/2014/main" id="{B85C1CD0-7F3D-4042-A57A-1F2FDBA03B1A}"/>
            </a:ext>
          </a:extLst>
        </xdr:cNvPr>
        <xdr:cNvPicPr/>
      </xdr:nvPicPr>
      <xdr:blipFill rotWithShape="1">
        <a:blip xmlns:r="http://schemas.openxmlformats.org/officeDocument/2006/relationships" r:embed="rId1"/>
        <a:srcRect l="37623" t="14798" r="36588" b="47686"/>
        <a:stretch/>
      </xdr:blipFill>
      <xdr:spPr bwMode="auto">
        <a:xfrm>
          <a:off x="25400" y="104776"/>
          <a:ext cx="1470025" cy="6953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85725</xdr:colOff>
      <xdr:row>88</xdr:row>
      <xdr:rowOff>114301</xdr:rowOff>
    </xdr:from>
    <xdr:to>
      <xdr:col>3</xdr:col>
      <xdr:colOff>428625</xdr:colOff>
      <xdr:row>88</xdr:row>
      <xdr:rowOff>647701</xdr:rowOff>
    </xdr:to>
    <xdr:pic>
      <xdr:nvPicPr>
        <xdr:cNvPr id="4" name="Imagen 3">
          <a:extLst>
            <a:ext uri="{FF2B5EF4-FFF2-40B4-BE49-F238E27FC236}">
              <a16:creationId xmlns:a16="http://schemas.microsoft.com/office/drawing/2014/main" id="{5BA4E048-2BFF-41F6-A2C3-1A432813C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5" y="32461201"/>
          <a:ext cx="130492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89</xdr:row>
      <xdr:rowOff>66676</xdr:rowOff>
    </xdr:from>
    <xdr:to>
      <xdr:col>3</xdr:col>
      <xdr:colOff>466725</xdr:colOff>
      <xdr:row>89</xdr:row>
      <xdr:rowOff>571500</xdr:rowOff>
    </xdr:to>
    <xdr:pic>
      <xdr:nvPicPr>
        <xdr:cNvPr id="5" name="Imagen 4">
          <a:extLst>
            <a:ext uri="{FF2B5EF4-FFF2-40B4-BE49-F238E27FC236}">
              <a16:creationId xmlns:a16="http://schemas.microsoft.com/office/drawing/2014/main" id="{C0027F79-7040-40E1-9C5C-43F0468E8B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1700" y="33137476"/>
          <a:ext cx="1314450"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istica2\compartido%20calidad\Users\norozco\Documents\HOSPITAL%20SAN%20JERONIMO%202020\ARCHIVOS%20Y%20DOCUMENTOS\01-SEGUIMIENTO%20PRODUCCI&#211;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ado"/>
      <sheetName val="tablero de control"/>
      <sheetName val="256"/>
      <sheetName val="seg de control de envío"/>
      <sheetName val="SEG 17-20"/>
      <sheetName val="SEG SIAU"/>
    </sheetNames>
    <sheetDataSet>
      <sheetData sheetId="0" refreshError="1">
        <row r="3">
          <cell r="C3">
            <v>1</v>
          </cell>
        </row>
        <row r="4">
          <cell r="C4">
            <v>3097</v>
          </cell>
        </row>
        <row r="95">
          <cell r="B95">
            <v>2650</v>
          </cell>
        </row>
        <row r="207">
          <cell r="B207">
            <v>511</v>
          </cell>
          <cell r="C207">
            <v>1094</v>
          </cell>
        </row>
        <row r="212">
          <cell r="B212">
            <v>853</v>
          </cell>
          <cell r="C212">
            <v>2981</v>
          </cell>
        </row>
        <row r="213">
          <cell r="B213">
            <v>4957</v>
          </cell>
          <cell r="C213">
            <v>11946</v>
          </cell>
        </row>
        <row r="220">
          <cell r="B220">
            <v>264</v>
          </cell>
          <cell r="C220">
            <v>1304</v>
          </cell>
        </row>
        <row r="225">
          <cell r="B225">
            <v>105</v>
          </cell>
          <cell r="C225">
            <v>209</v>
          </cell>
        </row>
        <row r="230">
          <cell r="B230">
            <v>248</v>
          </cell>
          <cell r="C230">
            <v>459</v>
          </cell>
        </row>
        <row r="231">
          <cell r="B231">
            <v>452</v>
          </cell>
          <cell r="C231">
            <v>720</v>
          </cell>
        </row>
        <row r="238">
          <cell r="B238">
            <v>82</v>
          </cell>
          <cell r="C238">
            <v>184</v>
          </cell>
        </row>
        <row r="283">
          <cell r="B283">
            <v>17282.32</v>
          </cell>
          <cell r="C283">
            <v>10038.6</v>
          </cell>
        </row>
        <row r="284">
          <cell r="B284">
            <v>451</v>
          </cell>
          <cell r="C284">
            <v>286</v>
          </cell>
        </row>
        <row r="288">
          <cell r="B288">
            <v>133</v>
          </cell>
        </row>
        <row r="292">
          <cell r="B292">
            <v>1436</v>
          </cell>
        </row>
        <row r="302">
          <cell r="B302">
            <v>133</v>
          </cell>
        </row>
        <row r="306">
          <cell r="B306">
            <v>1436</v>
          </cell>
        </row>
        <row r="309">
          <cell r="B309">
            <v>10</v>
          </cell>
        </row>
        <row r="311">
          <cell r="B311">
            <v>12</v>
          </cell>
        </row>
        <row r="312">
          <cell r="B312">
            <v>1365</v>
          </cell>
        </row>
        <row r="337">
          <cell r="B337">
            <v>0</v>
          </cell>
        </row>
        <row r="338">
          <cell r="B338">
            <v>0</v>
          </cell>
        </row>
        <row r="340">
          <cell r="B340">
            <v>21</v>
          </cell>
        </row>
        <row r="341">
          <cell r="B341">
            <v>147</v>
          </cell>
        </row>
        <row r="343">
          <cell r="B343">
            <v>12</v>
          </cell>
        </row>
        <row r="344">
          <cell r="B344">
            <v>73</v>
          </cell>
        </row>
        <row r="346">
          <cell r="B346">
            <v>0</v>
          </cell>
        </row>
        <row r="349">
          <cell r="B349">
            <v>0</v>
          </cell>
        </row>
        <row r="352">
          <cell r="B352">
            <v>0</v>
          </cell>
        </row>
        <row r="353">
          <cell r="B353">
            <v>8</v>
          </cell>
        </row>
        <row r="356">
          <cell r="B356">
            <v>114</v>
          </cell>
        </row>
        <row r="359">
          <cell r="B359">
            <v>80</v>
          </cell>
        </row>
        <row r="362">
          <cell r="B362">
            <v>189</v>
          </cell>
        </row>
        <row r="382">
          <cell r="B382">
            <v>1037</v>
          </cell>
        </row>
        <row r="383">
          <cell r="B383">
            <v>1052</v>
          </cell>
        </row>
        <row r="385">
          <cell r="B385">
            <v>1032</v>
          </cell>
        </row>
        <row r="386">
          <cell r="B386">
            <v>1052</v>
          </cell>
        </row>
        <row r="497">
          <cell r="B497">
            <v>859</v>
          </cell>
        </row>
        <row r="658">
          <cell r="B658">
            <v>102</v>
          </cell>
        </row>
        <row r="659">
          <cell r="B659">
            <v>85</v>
          </cell>
        </row>
        <row r="660">
          <cell r="B660">
            <v>5</v>
          </cell>
        </row>
        <row r="663">
          <cell r="B663">
            <v>9</v>
          </cell>
        </row>
        <row r="664">
          <cell r="B664">
            <v>0</v>
          </cell>
        </row>
        <row r="665">
          <cell r="B665">
            <v>102</v>
          </cell>
        </row>
        <row r="666">
          <cell r="B666">
            <v>222</v>
          </cell>
        </row>
        <row r="667">
          <cell r="B667">
            <v>0</v>
          </cell>
        </row>
        <row r="668">
          <cell r="B668">
            <v>0</v>
          </cell>
        </row>
        <row r="680">
          <cell r="B680">
            <v>259</v>
          </cell>
        </row>
        <row r="681">
          <cell r="B681">
            <v>9</v>
          </cell>
        </row>
        <row r="683">
          <cell r="B683">
            <v>13</v>
          </cell>
        </row>
        <row r="684">
          <cell r="B684">
            <v>1</v>
          </cell>
        </row>
        <row r="726">
          <cell r="B726">
            <v>406</v>
          </cell>
        </row>
        <row r="750">
          <cell r="B750">
            <v>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J21" sqref="J21"/>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11"/>
  <sheetViews>
    <sheetView workbookViewId="0">
      <selection sqref="A1:XFD1048576"/>
    </sheetView>
  </sheetViews>
  <sheetFormatPr baseColWidth="10" defaultRowHeight="15" x14ac:dyDescent="0.25"/>
  <cols>
    <col min="1" max="1" width="14.140625" style="19" customWidth="1"/>
    <col min="2" max="2" width="19.85546875" style="19" customWidth="1"/>
    <col min="3" max="4" width="11.42578125" style="44" customWidth="1"/>
    <col min="5" max="5" width="18.28515625" style="45" customWidth="1"/>
    <col min="6" max="6" width="9.140625" style="46" customWidth="1"/>
    <col min="7" max="7" width="8.85546875" style="46" customWidth="1"/>
    <col min="8" max="8" width="18.28515625" style="47" customWidth="1"/>
    <col min="9" max="9" width="8.42578125" style="48" customWidth="1"/>
    <col min="10" max="10" width="9" style="48" customWidth="1"/>
    <col min="11" max="11" width="20" style="49" customWidth="1"/>
    <col min="12" max="12" width="8.42578125" style="50" customWidth="1"/>
    <col min="13" max="13" width="9" style="50" customWidth="1"/>
    <col min="14" max="14" width="18.28515625" style="51" customWidth="1"/>
    <col min="15" max="15" width="8.42578125" style="52" customWidth="1"/>
    <col min="16" max="16" width="9" style="52" customWidth="1"/>
    <col min="17" max="17" width="18.28515625" style="53" customWidth="1"/>
    <col min="18" max="18" width="6.7109375" style="52" customWidth="1"/>
    <col min="19" max="19" width="7.42578125" style="52" customWidth="1"/>
    <col min="20" max="20" width="18.28515625" style="53" customWidth="1"/>
    <col min="21" max="21" width="6.7109375" style="52" customWidth="1"/>
    <col min="22" max="22" width="7" style="52" customWidth="1"/>
    <col min="23" max="23" width="22.5703125" style="53" customWidth="1"/>
    <col min="24" max="24" width="7" style="52" customWidth="1"/>
    <col min="25" max="25" width="9" style="52" customWidth="1"/>
    <col min="26" max="26" width="24.42578125" style="53" customWidth="1"/>
    <col min="27" max="27" width="8.42578125" style="52" customWidth="1"/>
    <col min="28" max="28" width="9" style="52" customWidth="1"/>
    <col min="29" max="29" width="24.42578125" style="53" customWidth="1"/>
    <col min="30" max="30" width="8.42578125" style="52" customWidth="1"/>
    <col min="31" max="31" width="9" style="52" customWidth="1"/>
    <col min="32" max="32" width="24.42578125" style="53" customWidth="1"/>
    <col min="33" max="33" width="8.42578125" style="52" customWidth="1"/>
    <col min="34" max="34" width="9" style="52" customWidth="1"/>
    <col min="35" max="35" width="24.42578125" style="53" customWidth="1"/>
    <col min="36" max="36" width="8.42578125" style="52" customWidth="1"/>
    <col min="37" max="37" width="10.5703125" style="52" customWidth="1"/>
    <col min="38" max="38" width="24.42578125" style="53" customWidth="1"/>
    <col min="39" max="39" width="8.42578125" style="52" customWidth="1"/>
    <col min="40" max="40" width="10.5703125" style="52" customWidth="1"/>
    <col min="41" max="41" width="24.42578125" style="53" customWidth="1"/>
    <col min="42" max="42" width="8.28515625" style="19" customWidth="1"/>
    <col min="43" max="43" width="8.7109375" style="19" customWidth="1"/>
    <col min="44" max="44" width="7.7109375" style="19" customWidth="1"/>
    <col min="45" max="45" width="10" style="19" customWidth="1"/>
    <col min="46" max="46" width="9.28515625" style="19" customWidth="1"/>
    <col min="47" max="47" width="8.140625" style="19" customWidth="1"/>
    <col min="48" max="48" width="10" style="19" customWidth="1"/>
    <col min="49" max="49" width="9.28515625" style="19" customWidth="1"/>
    <col min="50" max="50" width="7.85546875" style="19" customWidth="1"/>
    <col min="51" max="51" width="10" style="19" customWidth="1"/>
    <col min="52" max="52" width="9.28515625" style="19" customWidth="1"/>
  </cols>
  <sheetData>
    <row r="1" spans="1:52" ht="72" customHeight="1" x14ac:dyDescent="0.25">
      <c r="A1" s="190" t="s">
        <v>0</v>
      </c>
      <c r="B1" s="191"/>
      <c r="C1" s="3" t="s">
        <v>1</v>
      </c>
      <c r="D1" s="3" t="s">
        <v>2</v>
      </c>
      <c r="E1" s="55" t="s">
        <v>3</v>
      </c>
      <c r="F1" s="4">
        <v>42552</v>
      </c>
      <c r="G1" s="5" t="s">
        <v>2</v>
      </c>
      <c r="H1" s="6" t="s">
        <v>3</v>
      </c>
      <c r="I1" s="7">
        <v>42583</v>
      </c>
      <c r="J1" s="8" t="s">
        <v>2</v>
      </c>
      <c r="K1" s="9" t="s">
        <v>3</v>
      </c>
      <c r="L1" s="10">
        <v>42614</v>
      </c>
      <c r="M1" s="11" t="s">
        <v>2</v>
      </c>
      <c r="N1" s="12" t="s">
        <v>3</v>
      </c>
      <c r="O1" s="13">
        <v>42644</v>
      </c>
      <c r="P1" s="14" t="s">
        <v>2</v>
      </c>
      <c r="Q1" s="15" t="s">
        <v>3</v>
      </c>
      <c r="R1" s="16">
        <v>42736</v>
      </c>
      <c r="S1" s="17" t="s">
        <v>2</v>
      </c>
      <c r="T1" s="18" t="s">
        <v>3</v>
      </c>
      <c r="U1" s="16">
        <v>42767</v>
      </c>
      <c r="V1" s="17" t="s">
        <v>2</v>
      </c>
      <c r="W1" s="18" t="s">
        <v>3</v>
      </c>
      <c r="X1" s="16">
        <v>42795</v>
      </c>
      <c r="Y1" s="17" t="s">
        <v>2</v>
      </c>
      <c r="Z1" s="18" t="s">
        <v>3</v>
      </c>
      <c r="AA1" s="16">
        <v>42826</v>
      </c>
      <c r="AB1" s="17" t="s">
        <v>2</v>
      </c>
      <c r="AC1" s="18" t="s">
        <v>3</v>
      </c>
      <c r="AD1" s="16">
        <v>42856</v>
      </c>
      <c r="AE1" s="17" t="s">
        <v>2</v>
      </c>
      <c r="AF1" s="18" t="s">
        <v>3</v>
      </c>
      <c r="AG1" s="16">
        <v>42887</v>
      </c>
      <c r="AH1" s="17" t="s">
        <v>2</v>
      </c>
      <c r="AI1" s="18" t="s">
        <v>3</v>
      </c>
      <c r="AJ1" s="16">
        <v>42917</v>
      </c>
      <c r="AK1" s="17" t="s">
        <v>2</v>
      </c>
      <c r="AL1" s="18" t="s">
        <v>3</v>
      </c>
      <c r="AM1" s="16">
        <v>42948</v>
      </c>
      <c r="AN1" s="17" t="s">
        <v>2</v>
      </c>
      <c r="AO1" s="18" t="s">
        <v>3</v>
      </c>
      <c r="AP1" s="16">
        <v>42979</v>
      </c>
      <c r="AQ1" s="17" t="s">
        <v>2</v>
      </c>
      <c r="AR1" s="18" t="s">
        <v>3</v>
      </c>
      <c r="AS1" s="16">
        <v>43009</v>
      </c>
      <c r="AT1" s="17" t="s">
        <v>2</v>
      </c>
      <c r="AU1" s="18" t="s">
        <v>3</v>
      </c>
      <c r="AV1" s="16">
        <v>43040</v>
      </c>
      <c r="AW1" s="17" t="s">
        <v>2</v>
      </c>
      <c r="AX1" s="18" t="s">
        <v>3</v>
      </c>
      <c r="AY1" s="16">
        <v>43070</v>
      </c>
      <c r="AZ1" s="17" t="s">
        <v>2</v>
      </c>
    </row>
    <row r="2" spans="1:52" ht="51" hidden="1" x14ac:dyDescent="0.25">
      <c r="A2" s="169" t="s">
        <v>4</v>
      </c>
      <c r="B2" s="56" t="s">
        <v>5</v>
      </c>
      <c r="C2" s="57">
        <v>0</v>
      </c>
      <c r="D2" s="167">
        <v>0</v>
      </c>
      <c r="E2" s="58"/>
      <c r="F2" s="57">
        <v>0</v>
      </c>
      <c r="G2" s="167">
        <v>0</v>
      </c>
      <c r="H2" s="58"/>
      <c r="I2" s="57">
        <v>0</v>
      </c>
      <c r="J2" s="167" t="s">
        <v>47</v>
      </c>
      <c r="K2" s="58"/>
      <c r="L2" s="57">
        <v>0</v>
      </c>
      <c r="M2" s="167" t="s">
        <v>47</v>
      </c>
      <c r="N2" s="167"/>
      <c r="O2" s="57">
        <v>0</v>
      </c>
      <c r="P2" s="167" t="s">
        <v>47</v>
      </c>
      <c r="Q2" s="167"/>
      <c r="R2" s="57">
        <v>0</v>
      </c>
      <c r="S2" s="167" t="s">
        <v>47</v>
      </c>
      <c r="T2" s="167"/>
      <c r="U2" s="57">
        <v>0</v>
      </c>
      <c r="V2" s="167" t="s">
        <v>47</v>
      </c>
      <c r="W2" s="167"/>
      <c r="X2" s="57">
        <v>0</v>
      </c>
      <c r="Y2" s="167" t="s">
        <v>47</v>
      </c>
      <c r="Z2" s="167"/>
      <c r="AA2" s="57">
        <v>0</v>
      </c>
      <c r="AB2" s="167" t="s">
        <v>47</v>
      </c>
      <c r="AC2" s="167"/>
      <c r="AD2" s="57">
        <v>0</v>
      </c>
      <c r="AE2" s="167" t="s">
        <v>47</v>
      </c>
      <c r="AF2" s="167"/>
      <c r="AG2" s="57">
        <v>0</v>
      </c>
      <c r="AH2" s="167" t="s">
        <v>47</v>
      </c>
      <c r="AI2" s="167"/>
      <c r="AJ2" s="57">
        <v>0</v>
      </c>
      <c r="AK2" s="167" t="s">
        <v>47</v>
      </c>
      <c r="AL2" s="167"/>
      <c r="AM2" s="57" t="s">
        <v>47</v>
      </c>
      <c r="AN2" s="167" t="s">
        <v>47</v>
      </c>
      <c r="AO2" s="167"/>
      <c r="AP2" s="57" t="s">
        <v>47</v>
      </c>
      <c r="AQ2" s="167" t="s">
        <v>47</v>
      </c>
      <c r="AR2" s="167"/>
      <c r="AS2" s="57" t="s">
        <v>47</v>
      </c>
      <c r="AT2" s="167" t="s">
        <v>47</v>
      </c>
      <c r="AU2" s="167"/>
      <c r="AV2" s="57" t="s">
        <v>47</v>
      </c>
      <c r="AW2" s="167" t="s">
        <v>47</v>
      </c>
      <c r="AX2" s="167"/>
      <c r="AY2" s="57" t="s">
        <v>47</v>
      </c>
      <c r="AZ2" s="167" t="s">
        <v>47</v>
      </c>
    </row>
    <row r="3" spans="1:52" ht="25.5" hidden="1" x14ac:dyDescent="0.25">
      <c r="A3" s="169"/>
      <c r="B3" s="56" t="s">
        <v>6</v>
      </c>
      <c r="C3" s="57">
        <v>0</v>
      </c>
      <c r="D3" s="168"/>
      <c r="E3" s="58"/>
      <c r="F3" s="57">
        <v>0</v>
      </c>
      <c r="G3" s="168"/>
      <c r="H3" s="58"/>
      <c r="I3" s="57">
        <v>0</v>
      </c>
      <c r="J3" s="168"/>
      <c r="K3" s="58"/>
      <c r="L3" s="57">
        <v>0</v>
      </c>
      <c r="M3" s="168"/>
      <c r="N3" s="168"/>
      <c r="O3" s="57">
        <v>0</v>
      </c>
      <c r="P3" s="168"/>
      <c r="Q3" s="168"/>
      <c r="R3" s="57">
        <v>0</v>
      </c>
      <c r="S3" s="168"/>
      <c r="T3" s="168"/>
      <c r="U3" s="57">
        <v>0</v>
      </c>
      <c r="V3" s="168"/>
      <c r="W3" s="168"/>
      <c r="X3" s="57">
        <v>0</v>
      </c>
      <c r="Y3" s="168"/>
      <c r="Z3" s="168"/>
      <c r="AA3" s="57">
        <v>0</v>
      </c>
      <c r="AB3" s="168"/>
      <c r="AC3" s="168"/>
      <c r="AD3" s="57">
        <v>0</v>
      </c>
      <c r="AE3" s="168"/>
      <c r="AF3" s="168"/>
      <c r="AG3" s="57">
        <v>0</v>
      </c>
      <c r="AH3" s="168"/>
      <c r="AI3" s="168"/>
      <c r="AJ3" s="57">
        <v>0</v>
      </c>
      <c r="AK3" s="168"/>
      <c r="AL3" s="168"/>
      <c r="AM3" s="57" t="s">
        <v>47</v>
      </c>
      <c r="AN3" s="168"/>
      <c r="AO3" s="168"/>
      <c r="AP3" s="57" t="s">
        <v>47</v>
      </c>
      <c r="AQ3" s="168"/>
      <c r="AR3" s="168"/>
      <c r="AS3" s="57" t="s">
        <v>47</v>
      </c>
      <c r="AT3" s="168"/>
      <c r="AU3" s="168"/>
      <c r="AV3" s="57" t="s">
        <v>47</v>
      </c>
      <c r="AW3" s="168"/>
      <c r="AX3" s="168"/>
      <c r="AY3" s="57" t="s">
        <v>47</v>
      </c>
      <c r="AZ3" s="168"/>
    </row>
    <row r="4" spans="1:52" ht="25.5" hidden="1" x14ac:dyDescent="0.25">
      <c r="A4" s="169" t="s">
        <v>7</v>
      </c>
      <c r="B4" s="56" t="s">
        <v>8</v>
      </c>
      <c r="C4" s="57">
        <v>0</v>
      </c>
      <c r="D4" s="167">
        <v>0</v>
      </c>
      <c r="E4" s="58"/>
      <c r="F4" s="57">
        <v>0</v>
      </c>
      <c r="G4" s="167">
        <v>0</v>
      </c>
      <c r="H4" s="58"/>
      <c r="I4" s="57">
        <v>0</v>
      </c>
      <c r="J4" s="167" t="s">
        <v>47</v>
      </c>
      <c r="K4" s="58"/>
      <c r="L4" s="57">
        <v>0</v>
      </c>
      <c r="M4" s="167" t="s">
        <v>47</v>
      </c>
      <c r="N4" s="167"/>
      <c r="O4" s="57">
        <v>0</v>
      </c>
      <c r="P4" s="167" t="s">
        <v>47</v>
      </c>
      <c r="Q4" s="167"/>
      <c r="R4" s="57">
        <v>0</v>
      </c>
      <c r="S4" s="167" t="s">
        <v>47</v>
      </c>
      <c r="T4" s="167"/>
      <c r="U4" s="57">
        <v>0</v>
      </c>
      <c r="V4" s="167" t="s">
        <v>47</v>
      </c>
      <c r="W4" s="167"/>
      <c r="X4" s="57">
        <v>0</v>
      </c>
      <c r="Y4" s="167" t="s">
        <v>47</v>
      </c>
      <c r="Z4" s="167"/>
      <c r="AA4" s="57">
        <v>0</v>
      </c>
      <c r="AB4" s="167" t="s">
        <v>47</v>
      </c>
      <c r="AC4" s="167"/>
      <c r="AD4" s="57">
        <v>0</v>
      </c>
      <c r="AE4" s="167" t="s">
        <v>47</v>
      </c>
      <c r="AF4" s="167"/>
      <c r="AG4" s="57">
        <v>0</v>
      </c>
      <c r="AH4" s="167" t="s">
        <v>47</v>
      </c>
      <c r="AI4" s="167"/>
      <c r="AJ4" s="57">
        <v>0</v>
      </c>
      <c r="AK4" s="167" t="s">
        <v>47</v>
      </c>
      <c r="AL4" s="167"/>
      <c r="AM4" s="57" t="s">
        <v>47</v>
      </c>
      <c r="AN4" s="167" t="s">
        <v>47</v>
      </c>
      <c r="AO4" s="167"/>
      <c r="AP4" s="57" t="s">
        <v>47</v>
      </c>
      <c r="AQ4" s="167" t="s">
        <v>47</v>
      </c>
      <c r="AR4" s="167"/>
      <c r="AS4" s="57" t="s">
        <v>47</v>
      </c>
      <c r="AT4" s="167" t="s">
        <v>47</v>
      </c>
      <c r="AU4" s="167"/>
      <c r="AV4" s="57" t="s">
        <v>47</v>
      </c>
      <c r="AW4" s="167" t="s">
        <v>47</v>
      </c>
      <c r="AX4" s="167"/>
      <c r="AY4" s="57" t="s">
        <v>47</v>
      </c>
      <c r="AZ4" s="167" t="s">
        <v>47</v>
      </c>
    </row>
    <row r="5" spans="1:52" hidden="1" x14ac:dyDescent="0.25">
      <c r="A5" s="169"/>
      <c r="B5" s="56" t="s">
        <v>9</v>
      </c>
      <c r="C5" s="57">
        <v>0</v>
      </c>
      <c r="D5" s="168"/>
      <c r="E5" s="58"/>
      <c r="F5" s="57">
        <v>0</v>
      </c>
      <c r="G5" s="168"/>
      <c r="H5" s="58"/>
      <c r="I5" s="57">
        <v>0</v>
      </c>
      <c r="J5" s="168"/>
      <c r="K5" s="58"/>
      <c r="L5" s="57">
        <v>0</v>
      </c>
      <c r="M5" s="168"/>
      <c r="N5" s="168"/>
      <c r="O5" s="57">
        <v>0</v>
      </c>
      <c r="P5" s="168"/>
      <c r="Q5" s="168"/>
      <c r="R5" s="57">
        <v>0</v>
      </c>
      <c r="S5" s="168"/>
      <c r="T5" s="168"/>
      <c r="U5" s="57">
        <v>0</v>
      </c>
      <c r="V5" s="168"/>
      <c r="W5" s="168"/>
      <c r="X5" s="57">
        <v>0</v>
      </c>
      <c r="Y5" s="168"/>
      <c r="Z5" s="168"/>
      <c r="AA5" s="57">
        <v>0</v>
      </c>
      <c r="AB5" s="168"/>
      <c r="AC5" s="168"/>
      <c r="AD5" s="57">
        <v>0</v>
      </c>
      <c r="AE5" s="168"/>
      <c r="AF5" s="168"/>
      <c r="AG5" s="57">
        <v>0</v>
      </c>
      <c r="AH5" s="168"/>
      <c r="AI5" s="168"/>
      <c r="AJ5" s="57">
        <v>0</v>
      </c>
      <c r="AK5" s="168"/>
      <c r="AL5" s="168"/>
      <c r="AM5" s="57" t="s">
        <v>47</v>
      </c>
      <c r="AN5" s="168"/>
      <c r="AO5" s="168"/>
      <c r="AP5" s="57" t="s">
        <v>47</v>
      </c>
      <c r="AQ5" s="168"/>
      <c r="AR5" s="168"/>
      <c r="AS5" s="57" t="s">
        <v>47</v>
      </c>
      <c r="AT5" s="168"/>
      <c r="AU5" s="168"/>
      <c r="AV5" s="57" t="s">
        <v>47</v>
      </c>
      <c r="AW5" s="168"/>
      <c r="AX5" s="168"/>
      <c r="AY5" s="57" t="s">
        <v>47</v>
      </c>
      <c r="AZ5" s="168"/>
    </row>
    <row r="6" spans="1:52" ht="25.5" x14ac:dyDescent="0.25">
      <c r="A6" s="146" t="s">
        <v>10</v>
      </c>
      <c r="B6" s="54" t="s">
        <v>11</v>
      </c>
      <c r="C6" s="20">
        <v>632</v>
      </c>
      <c r="D6" s="147">
        <f>+C6/C7</f>
        <v>0.55633802816901412</v>
      </c>
      <c r="E6" s="21"/>
      <c r="F6" s="22">
        <v>198</v>
      </c>
      <c r="G6" s="149">
        <f>+F6/F7</f>
        <v>0.77042801556420237</v>
      </c>
      <c r="H6" s="23"/>
      <c r="I6" s="24">
        <v>157</v>
      </c>
      <c r="J6" s="151">
        <f>+I6/I7</f>
        <v>0.76960784313725494</v>
      </c>
      <c r="K6" s="25"/>
      <c r="L6" s="26">
        <v>133</v>
      </c>
      <c r="M6" s="153">
        <f>+L6/L7</f>
        <v>0.70744680851063835</v>
      </c>
      <c r="N6" s="155"/>
      <c r="O6" s="27">
        <v>129</v>
      </c>
      <c r="P6" s="157">
        <f>+O6/O7</f>
        <v>0.64824120603015079</v>
      </c>
      <c r="Q6" s="159"/>
      <c r="R6" s="28">
        <v>158</v>
      </c>
      <c r="S6" s="142">
        <f>+R6/R7</f>
        <v>0.60305343511450382</v>
      </c>
      <c r="T6" s="144"/>
      <c r="U6" s="28">
        <v>131</v>
      </c>
      <c r="V6" s="142">
        <f>+U6/U7</f>
        <v>0.68947368421052635</v>
      </c>
      <c r="W6" s="144"/>
      <c r="X6" s="28">
        <v>126</v>
      </c>
      <c r="Y6" s="142">
        <f>+X6/X7</f>
        <v>0.6737967914438503</v>
      </c>
      <c r="Z6" s="144"/>
      <c r="AA6" s="28">
        <v>115</v>
      </c>
      <c r="AB6" s="142">
        <f>+AA6/AA7</f>
        <v>0.63186813186813184</v>
      </c>
      <c r="AC6" s="144"/>
      <c r="AD6" s="28">
        <v>157</v>
      </c>
      <c r="AE6" s="142">
        <f>+AD6/AD7</f>
        <v>0.71040723981900455</v>
      </c>
      <c r="AF6" s="144"/>
      <c r="AG6" s="28">
        <v>110</v>
      </c>
      <c r="AH6" s="142">
        <f>+AG6/AG7</f>
        <v>0.63953488372093026</v>
      </c>
      <c r="AI6" s="144"/>
      <c r="AJ6" s="28">
        <v>121</v>
      </c>
      <c r="AK6" s="142">
        <f>+AJ6/AJ7</f>
        <v>0.65053763440860213</v>
      </c>
      <c r="AL6" s="144"/>
      <c r="AM6" s="28">
        <v>111</v>
      </c>
      <c r="AN6" s="142">
        <f>+AM6/AM7</f>
        <v>0.63068181818181823</v>
      </c>
      <c r="AO6" s="144"/>
      <c r="AP6" s="28">
        <v>113</v>
      </c>
      <c r="AQ6" s="142">
        <f>+AP6/AP7</f>
        <v>0.68902439024390238</v>
      </c>
      <c r="AR6" s="144"/>
      <c r="AS6" s="28">
        <v>96</v>
      </c>
      <c r="AT6" s="142">
        <f>+AS6/AS7</f>
        <v>0.59627329192546585</v>
      </c>
      <c r="AU6" s="144"/>
      <c r="AV6" s="28">
        <v>96</v>
      </c>
      <c r="AW6" s="142">
        <f>+AV6/AV7</f>
        <v>0.64429530201342278</v>
      </c>
      <c r="AX6" s="163" t="s">
        <v>200</v>
      </c>
      <c r="AY6" s="28">
        <v>83</v>
      </c>
      <c r="AZ6" s="142">
        <f>+AY6/AY7</f>
        <v>0.58450704225352113</v>
      </c>
    </row>
    <row r="7" spans="1:52" x14ac:dyDescent="0.25">
      <c r="A7" s="146"/>
      <c r="B7" s="54" t="s">
        <v>12</v>
      </c>
      <c r="C7" s="20">
        <v>1136</v>
      </c>
      <c r="D7" s="148"/>
      <c r="E7" s="21"/>
      <c r="F7" s="22">
        <v>257</v>
      </c>
      <c r="G7" s="150"/>
      <c r="H7" s="23"/>
      <c r="I7" s="24">
        <v>204</v>
      </c>
      <c r="J7" s="152"/>
      <c r="K7" s="25"/>
      <c r="L7" s="26">
        <v>188</v>
      </c>
      <c r="M7" s="154"/>
      <c r="N7" s="156"/>
      <c r="O7" s="27">
        <v>199</v>
      </c>
      <c r="P7" s="158"/>
      <c r="Q7" s="160"/>
      <c r="R7" s="28">
        <v>262</v>
      </c>
      <c r="S7" s="143"/>
      <c r="T7" s="145"/>
      <c r="U7" s="28">
        <v>190</v>
      </c>
      <c r="V7" s="143"/>
      <c r="W7" s="145"/>
      <c r="X7" s="28">
        <v>187</v>
      </c>
      <c r="Y7" s="143"/>
      <c r="Z7" s="145"/>
      <c r="AA7" s="28">
        <v>182</v>
      </c>
      <c r="AB7" s="143"/>
      <c r="AC7" s="145"/>
      <c r="AD7" s="28">
        <v>221</v>
      </c>
      <c r="AE7" s="143"/>
      <c r="AF7" s="145"/>
      <c r="AG7" s="28">
        <v>172</v>
      </c>
      <c r="AH7" s="143"/>
      <c r="AI7" s="145"/>
      <c r="AJ7" s="28">
        <v>186</v>
      </c>
      <c r="AK7" s="143"/>
      <c r="AL7" s="145"/>
      <c r="AM7" s="28">
        <v>176</v>
      </c>
      <c r="AN7" s="143"/>
      <c r="AO7" s="145"/>
      <c r="AP7" s="28">
        <v>164</v>
      </c>
      <c r="AQ7" s="143"/>
      <c r="AR7" s="145"/>
      <c r="AS7" s="28">
        <v>161</v>
      </c>
      <c r="AT7" s="143"/>
      <c r="AU7" s="145"/>
      <c r="AV7" s="28">
        <v>149</v>
      </c>
      <c r="AW7" s="143"/>
      <c r="AX7" s="164"/>
      <c r="AY7" s="28">
        <v>142</v>
      </c>
      <c r="AZ7" s="143"/>
    </row>
    <row r="8" spans="1:52" ht="79.5" customHeight="1" x14ac:dyDescent="0.25">
      <c r="A8" s="146" t="s">
        <v>13</v>
      </c>
      <c r="B8" s="54" t="s">
        <v>14</v>
      </c>
      <c r="C8" s="20">
        <v>22</v>
      </c>
      <c r="D8" s="147">
        <f>+C8/C9</f>
        <v>1.8998272884283247E-2</v>
      </c>
      <c r="E8" s="21"/>
      <c r="F8" s="22">
        <v>3</v>
      </c>
      <c r="G8" s="149">
        <f>+F8/F9</f>
        <v>1.1538461538461539E-2</v>
      </c>
      <c r="H8" s="23"/>
      <c r="I8" s="24">
        <v>1</v>
      </c>
      <c r="J8" s="151">
        <f>+I8/I9</f>
        <v>4.8780487804878049E-3</v>
      </c>
      <c r="K8" s="25"/>
      <c r="L8" s="26">
        <v>6</v>
      </c>
      <c r="M8" s="153">
        <f>+L8/L9</f>
        <v>3.0927835051546393E-2</v>
      </c>
      <c r="N8" s="155"/>
      <c r="O8" s="27"/>
      <c r="P8" s="157" t="e">
        <f>+O8/O9</f>
        <v>#DIV/0!</v>
      </c>
      <c r="Q8" s="184" t="s">
        <v>172</v>
      </c>
      <c r="R8" s="28">
        <v>9</v>
      </c>
      <c r="S8" s="142">
        <f>+R8/R9</f>
        <v>3.3210332103321034E-2</v>
      </c>
      <c r="T8" s="163"/>
      <c r="U8" s="28">
        <v>3</v>
      </c>
      <c r="V8" s="142">
        <f>+U8/U9</f>
        <v>1.5544041450777202E-2</v>
      </c>
      <c r="W8" s="163"/>
      <c r="X8" s="28">
        <v>6</v>
      </c>
      <c r="Y8" s="142">
        <f>+X8/X9</f>
        <v>3.1088082901554404E-2</v>
      </c>
      <c r="Z8" s="163"/>
      <c r="AA8" s="28">
        <v>5</v>
      </c>
      <c r="AB8" s="142">
        <f>+AA8/AA9</f>
        <v>2.6737967914438502E-2</v>
      </c>
      <c r="AC8" s="163"/>
      <c r="AD8" s="28">
        <v>0</v>
      </c>
      <c r="AE8" s="142">
        <f>+AD8/AD9</f>
        <v>0</v>
      </c>
      <c r="AF8" s="163"/>
      <c r="AG8" s="28">
        <v>4</v>
      </c>
      <c r="AH8" s="142">
        <f>+AG8/AG9</f>
        <v>2.2727272727272728E-2</v>
      </c>
      <c r="AI8" s="163"/>
      <c r="AJ8" s="28">
        <v>5</v>
      </c>
      <c r="AK8" s="142">
        <f>+AJ8/AJ9</f>
        <v>2.6178010471204188E-2</v>
      </c>
      <c r="AL8" s="163"/>
      <c r="AM8" s="28">
        <v>9</v>
      </c>
      <c r="AN8" s="142">
        <f>+AM8/AM9</f>
        <v>4.8648648648648651E-2</v>
      </c>
      <c r="AO8" s="163"/>
      <c r="AP8" s="28">
        <v>8</v>
      </c>
      <c r="AQ8" s="142">
        <f>+AP8/AP9</f>
        <v>4.7337278106508875E-2</v>
      </c>
      <c r="AR8" s="163" t="s">
        <v>204</v>
      </c>
      <c r="AS8" s="28">
        <v>4</v>
      </c>
      <c r="AT8" s="142">
        <f>+AS8/AS9</f>
        <v>2.3668639053254437E-2</v>
      </c>
      <c r="AU8" s="163" t="s">
        <v>203</v>
      </c>
      <c r="AV8" s="28">
        <v>3</v>
      </c>
      <c r="AW8" s="142">
        <f>+AV8/AV9</f>
        <v>1.9736842105263157E-2</v>
      </c>
      <c r="AX8" s="163" t="s">
        <v>203</v>
      </c>
      <c r="AY8" s="28">
        <v>0</v>
      </c>
      <c r="AZ8" s="142">
        <f>+AY8/AY9</f>
        <v>0</v>
      </c>
    </row>
    <row r="9" spans="1:52" ht="83.25" customHeight="1" x14ac:dyDescent="0.25">
      <c r="A9" s="146"/>
      <c r="B9" s="54" t="s">
        <v>15</v>
      </c>
      <c r="C9" s="20">
        <v>1158</v>
      </c>
      <c r="D9" s="148"/>
      <c r="E9" s="21"/>
      <c r="F9" s="22">
        <f>257+3</f>
        <v>260</v>
      </c>
      <c r="G9" s="150"/>
      <c r="H9" s="23"/>
      <c r="I9" s="24">
        <v>205</v>
      </c>
      <c r="J9" s="152"/>
      <c r="K9" s="25"/>
      <c r="L9" s="26">
        <f>188+6</f>
        <v>194</v>
      </c>
      <c r="M9" s="154"/>
      <c r="N9" s="156"/>
      <c r="O9" s="27"/>
      <c r="P9" s="158"/>
      <c r="Q9" s="185"/>
      <c r="R9" s="28">
        <f>262+9</f>
        <v>271</v>
      </c>
      <c r="S9" s="143"/>
      <c r="T9" s="164"/>
      <c r="U9" s="28">
        <v>193</v>
      </c>
      <c r="V9" s="143"/>
      <c r="W9" s="164"/>
      <c r="X9" s="28">
        <f>187+6</f>
        <v>193</v>
      </c>
      <c r="Y9" s="143"/>
      <c r="Z9" s="164"/>
      <c r="AA9" s="28">
        <v>187</v>
      </c>
      <c r="AB9" s="143"/>
      <c r="AC9" s="164"/>
      <c r="AD9" s="28">
        <v>221</v>
      </c>
      <c r="AE9" s="143"/>
      <c r="AF9" s="164"/>
      <c r="AG9" s="28">
        <f>AG7+AG8</f>
        <v>176</v>
      </c>
      <c r="AH9" s="143"/>
      <c r="AI9" s="164"/>
      <c r="AJ9" s="28">
        <f>+AJ7+AJ8</f>
        <v>191</v>
      </c>
      <c r="AK9" s="143"/>
      <c r="AL9" s="164"/>
      <c r="AM9" s="28">
        <f>+AM7+AM8</f>
        <v>185</v>
      </c>
      <c r="AN9" s="143"/>
      <c r="AO9" s="164"/>
      <c r="AP9" s="28">
        <f>+AP7+5</f>
        <v>169</v>
      </c>
      <c r="AQ9" s="143"/>
      <c r="AR9" s="164"/>
      <c r="AS9" s="28">
        <f>+AS7+8</f>
        <v>169</v>
      </c>
      <c r="AT9" s="143"/>
      <c r="AU9" s="164"/>
      <c r="AV9" s="28">
        <f>+AV7+AV8</f>
        <v>152</v>
      </c>
      <c r="AW9" s="143"/>
      <c r="AX9" s="164"/>
      <c r="AY9" s="28">
        <v>142</v>
      </c>
      <c r="AZ9" s="143"/>
    </row>
    <row r="10" spans="1:52" x14ac:dyDescent="0.25">
      <c r="A10" s="146" t="s">
        <v>16</v>
      </c>
      <c r="B10" s="54" t="s">
        <v>17</v>
      </c>
      <c r="C10" s="20">
        <v>64</v>
      </c>
      <c r="D10" s="147">
        <f>+C10/C11</f>
        <v>12.8</v>
      </c>
      <c r="E10" s="21"/>
      <c r="F10" s="22">
        <v>50</v>
      </c>
      <c r="G10" s="149">
        <v>0</v>
      </c>
      <c r="H10" s="23"/>
      <c r="I10" s="24">
        <v>50</v>
      </c>
      <c r="J10" s="151">
        <v>0</v>
      </c>
      <c r="K10" s="25"/>
      <c r="L10" s="26">
        <v>44</v>
      </c>
      <c r="M10" s="153">
        <v>0</v>
      </c>
      <c r="N10" s="155"/>
      <c r="O10" s="27"/>
      <c r="P10" s="157">
        <v>0</v>
      </c>
      <c r="Q10" s="184" t="s">
        <v>172</v>
      </c>
      <c r="R10" s="28">
        <v>84</v>
      </c>
      <c r="S10" s="142">
        <v>0</v>
      </c>
      <c r="T10" s="163"/>
      <c r="U10" s="28">
        <v>69</v>
      </c>
      <c r="V10" s="142">
        <v>0</v>
      </c>
      <c r="W10" s="163" t="s">
        <v>177</v>
      </c>
      <c r="X10" s="28">
        <v>44</v>
      </c>
      <c r="Y10" s="142">
        <v>0</v>
      </c>
      <c r="Z10" s="163" t="s">
        <v>180</v>
      </c>
      <c r="AA10" s="28">
        <v>52</v>
      </c>
      <c r="AB10" s="142">
        <v>0</v>
      </c>
      <c r="AC10" s="163" t="s">
        <v>185</v>
      </c>
      <c r="AD10" s="28">
        <v>34</v>
      </c>
      <c r="AE10" s="142">
        <v>0</v>
      </c>
      <c r="AF10" s="163" t="s">
        <v>186</v>
      </c>
      <c r="AG10" s="28">
        <v>8</v>
      </c>
      <c r="AH10" s="142">
        <v>0</v>
      </c>
      <c r="AI10" s="163" t="s">
        <v>187</v>
      </c>
      <c r="AJ10" s="28">
        <v>14</v>
      </c>
      <c r="AK10" s="142">
        <v>0</v>
      </c>
      <c r="AL10" s="163" t="s">
        <v>188</v>
      </c>
      <c r="AM10" s="28">
        <v>7</v>
      </c>
      <c r="AN10" s="142">
        <v>0</v>
      </c>
      <c r="AO10" s="163" t="s">
        <v>194</v>
      </c>
      <c r="AP10" s="28">
        <v>19</v>
      </c>
      <c r="AQ10" s="142">
        <v>0</v>
      </c>
      <c r="AR10" s="163" t="s">
        <v>197</v>
      </c>
      <c r="AS10" s="28">
        <v>8</v>
      </c>
      <c r="AT10" s="142">
        <v>0</v>
      </c>
      <c r="AU10" s="163" t="s">
        <v>198</v>
      </c>
      <c r="AV10" s="28">
        <v>4</v>
      </c>
      <c r="AW10" s="142">
        <v>0</v>
      </c>
      <c r="AX10" s="163" t="s">
        <v>197</v>
      </c>
      <c r="AY10" s="28">
        <v>16</v>
      </c>
      <c r="AZ10" s="142">
        <v>0</v>
      </c>
    </row>
    <row r="11" spans="1:52" ht="25.5" x14ac:dyDescent="0.25">
      <c r="A11" s="146"/>
      <c r="B11" s="54" t="s">
        <v>18</v>
      </c>
      <c r="C11" s="20">
        <v>5</v>
      </c>
      <c r="D11" s="148"/>
      <c r="E11" s="21"/>
      <c r="F11" s="22">
        <v>0</v>
      </c>
      <c r="G11" s="150"/>
      <c r="H11" s="23"/>
      <c r="I11" s="24">
        <v>1</v>
      </c>
      <c r="J11" s="152"/>
      <c r="K11" s="25"/>
      <c r="L11" s="26">
        <v>0</v>
      </c>
      <c r="M11" s="154"/>
      <c r="N11" s="156"/>
      <c r="O11" s="27">
        <v>0</v>
      </c>
      <c r="P11" s="158"/>
      <c r="Q11" s="185"/>
      <c r="R11" s="28">
        <v>0</v>
      </c>
      <c r="S11" s="143"/>
      <c r="T11" s="164"/>
      <c r="U11" s="28">
        <v>0</v>
      </c>
      <c r="V11" s="143"/>
      <c r="W11" s="164"/>
      <c r="X11" s="28">
        <v>0</v>
      </c>
      <c r="Y11" s="143"/>
      <c r="Z11" s="164"/>
      <c r="AA11" s="28">
        <v>0</v>
      </c>
      <c r="AB11" s="143"/>
      <c r="AC11" s="164"/>
      <c r="AD11" s="28">
        <v>0</v>
      </c>
      <c r="AE11" s="143"/>
      <c r="AF11" s="164"/>
      <c r="AG11" s="28">
        <v>0</v>
      </c>
      <c r="AH11" s="143"/>
      <c r="AI11" s="164"/>
      <c r="AJ11" s="28">
        <v>0</v>
      </c>
      <c r="AK11" s="143"/>
      <c r="AL11" s="164"/>
      <c r="AM11" s="28">
        <v>0</v>
      </c>
      <c r="AN11" s="143"/>
      <c r="AO11" s="164"/>
      <c r="AP11" s="28">
        <v>0</v>
      </c>
      <c r="AQ11" s="143"/>
      <c r="AR11" s="164"/>
      <c r="AS11" s="28">
        <v>1</v>
      </c>
      <c r="AT11" s="143"/>
      <c r="AU11" s="164"/>
      <c r="AV11" s="28">
        <v>0</v>
      </c>
      <c r="AW11" s="143"/>
      <c r="AX11" s="164"/>
      <c r="AY11" s="28">
        <v>1</v>
      </c>
      <c r="AZ11" s="143"/>
    </row>
    <row r="12" spans="1:52" ht="38.25" x14ac:dyDescent="0.25">
      <c r="A12" s="146" t="s">
        <v>19</v>
      </c>
      <c r="B12" s="54" t="s">
        <v>20</v>
      </c>
      <c r="C12" s="20">
        <v>1136</v>
      </c>
      <c r="D12" s="147">
        <f>+C12/C13</f>
        <v>1</v>
      </c>
      <c r="E12" s="21"/>
      <c r="F12" s="22">
        <v>257</v>
      </c>
      <c r="G12" s="149">
        <f>+F12/F13</f>
        <v>1</v>
      </c>
      <c r="H12" s="23"/>
      <c r="I12" s="24">
        <v>204</v>
      </c>
      <c r="J12" s="151">
        <f>+I12/I13</f>
        <v>1</v>
      </c>
      <c r="K12" s="25"/>
      <c r="L12" s="26">
        <v>188</v>
      </c>
      <c r="M12" s="153">
        <f>+L12/L13</f>
        <v>1</v>
      </c>
      <c r="N12" s="155"/>
      <c r="O12" s="27">
        <v>199</v>
      </c>
      <c r="P12" s="157">
        <f>+O12/O13</f>
        <v>1</v>
      </c>
      <c r="Q12" s="159"/>
      <c r="R12" s="28">
        <v>262</v>
      </c>
      <c r="S12" s="142">
        <f>+R12/R13</f>
        <v>1</v>
      </c>
      <c r="T12" s="144"/>
      <c r="U12" s="28">
        <v>190</v>
      </c>
      <c r="V12" s="142">
        <f>+U12/U13</f>
        <v>1</v>
      </c>
      <c r="W12" s="144"/>
      <c r="X12" s="28">
        <v>187</v>
      </c>
      <c r="Y12" s="142">
        <f>+X12/X13</f>
        <v>1</v>
      </c>
      <c r="Z12" s="144"/>
      <c r="AA12" s="28">
        <v>182</v>
      </c>
      <c r="AB12" s="142">
        <f>+AA12/AA13</f>
        <v>1</v>
      </c>
      <c r="AC12" s="144"/>
      <c r="AD12" s="28">
        <v>221</v>
      </c>
      <c r="AE12" s="142">
        <f>+AD12/AD13</f>
        <v>1</v>
      </c>
      <c r="AF12" s="144"/>
      <c r="AG12" s="28">
        <v>172</v>
      </c>
      <c r="AH12" s="142">
        <f>+AG12/AG13</f>
        <v>1</v>
      </c>
      <c r="AI12" s="144"/>
      <c r="AJ12" s="28">
        <v>186</v>
      </c>
      <c r="AK12" s="142">
        <f>+AJ12/AJ13</f>
        <v>1</v>
      </c>
      <c r="AL12" s="144"/>
      <c r="AM12" s="28">
        <v>176</v>
      </c>
      <c r="AN12" s="142">
        <f>+AM12/AM13</f>
        <v>1</v>
      </c>
      <c r="AO12" s="144"/>
      <c r="AP12" s="28">
        <v>164</v>
      </c>
      <c r="AQ12" s="142">
        <f>+AP12/AP13</f>
        <v>1</v>
      </c>
      <c r="AR12" s="144"/>
      <c r="AS12" s="28">
        <v>161</v>
      </c>
      <c r="AT12" s="142">
        <f>+AS12/AS13</f>
        <v>1</v>
      </c>
      <c r="AU12" s="144"/>
      <c r="AV12" s="28">
        <v>149</v>
      </c>
      <c r="AW12" s="142">
        <f>+AV12/AV13</f>
        <v>1</v>
      </c>
      <c r="AX12" s="144"/>
      <c r="AY12" s="28">
        <v>142</v>
      </c>
      <c r="AZ12" s="142">
        <f>+AY12/AY13</f>
        <v>1</v>
      </c>
    </row>
    <row r="13" spans="1:52" ht="20.25" customHeight="1" x14ac:dyDescent="0.25">
      <c r="A13" s="146"/>
      <c r="B13" s="54" t="s">
        <v>21</v>
      </c>
      <c r="C13" s="20">
        <v>1136</v>
      </c>
      <c r="D13" s="148"/>
      <c r="E13" s="21"/>
      <c r="F13" s="22">
        <v>257</v>
      </c>
      <c r="G13" s="150"/>
      <c r="H13" s="23"/>
      <c r="I13" s="24">
        <v>204</v>
      </c>
      <c r="J13" s="152"/>
      <c r="K13" s="25"/>
      <c r="L13" s="26">
        <v>188</v>
      </c>
      <c r="M13" s="154"/>
      <c r="N13" s="156"/>
      <c r="O13" s="27">
        <v>199</v>
      </c>
      <c r="P13" s="158"/>
      <c r="Q13" s="160"/>
      <c r="R13" s="28">
        <v>262</v>
      </c>
      <c r="S13" s="143"/>
      <c r="T13" s="145"/>
      <c r="U13" s="28">
        <v>190</v>
      </c>
      <c r="V13" s="143"/>
      <c r="W13" s="145"/>
      <c r="X13" s="28">
        <v>187</v>
      </c>
      <c r="Y13" s="143"/>
      <c r="Z13" s="145"/>
      <c r="AA13" s="28">
        <v>182</v>
      </c>
      <c r="AB13" s="143"/>
      <c r="AC13" s="145"/>
      <c r="AD13" s="28">
        <v>221</v>
      </c>
      <c r="AE13" s="143"/>
      <c r="AF13" s="145"/>
      <c r="AG13" s="28">
        <v>172</v>
      </c>
      <c r="AH13" s="143"/>
      <c r="AI13" s="145"/>
      <c r="AJ13" s="28">
        <v>186</v>
      </c>
      <c r="AK13" s="143"/>
      <c r="AL13" s="145"/>
      <c r="AM13" s="28">
        <v>176</v>
      </c>
      <c r="AN13" s="143"/>
      <c r="AO13" s="145"/>
      <c r="AP13" s="28">
        <v>164</v>
      </c>
      <c r="AQ13" s="143"/>
      <c r="AR13" s="145"/>
      <c r="AS13" s="28">
        <v>161</v>
      </c>
      <c r="AT13" s="143"/>
      <c r="AU13" s="145"/>
      <c r="AV13" s="28">
        <v>149</v>
      </c>
      <c r="AW13" s="143"/>
      <c r="AX13" s="145"/>
      <c r="AY13" s="28">
        <v>142</v>
      </c>
      <c r="AZ13" s="143"/>
    </row>
    <row r="14" spans="1:52" ht="63.75" x14ac:dyDescent="0.25">
      <c r="A14" s="146" t="s">
        <v>22</v>
      </c>
      <c r="B14" s="54" t="s">
        <v>23</v>
      </c>
      <c r="C14" s="20">
        <v>0</v>
      </c>
      <c r="D14" s="147">
        <f>+C14/C15</f>
        <v>0</v>
      </c>
      <c r="E14" s="21"/>
      <c r="F14" s="22">
        <v>0</v>
      </c>
      <c r="G14" s="149">
        <f>+F14/F15</f>
        <v>0</v>
      </c>
      <c r="H14" s="23"/>
      <c r="I14" s="24">
        <v>0</v>
      </c>
      <c r="J14" s="151">
        <f>+I14/I15</f>
        <v>0</v>
      </c>
      <c r="K14" s="25"/>
      <c r="L14" s="26">
        <v>0</v>
      </c>
      <c r="M14" s="153">
        <f>+L14/L15</f>
        <v>0</v>
      </c>
      <c r="N14" s="155"/>
      <c r="O14" s="27">
        <v>0</v>
      </c>
      <c r="P14" s="157">
        <f>+O14/O15</f>
        <v>0</v>
      </c>
      <c r="Q14" s="159"/>
      <c r="R14" s="28">
        <v>0</v>
      </c>
      <c r="S14" s="142">
        <f>+R14/R15</f>
        <v>0</v>
      </c>
      <c r="T14" s="144"/>
      <c r="U14" s="28">
        <v>1</v>
      </c>
      <c r="V14" s="142">
        <f>+U14/U15</f>
        <v>3.4482758620689655E-2</v>
      </c>
      <c r="W14" s="144"/>
      <c r="X14" s="28">
        <v>0</v>
      </c>
      <c r="Y14" s="142">
        <f>+X14/X15</f>
        <v>0</v>
      </c>
      <c r="Z14" s="144"/>
      <c r="AA14" s="28">
        <v>0</v>
      </c>
      <c r="AB14" s="142">
        <f>+AA14/AA15</f>
        <v>0</v>
      </c>
      <c r="AC14" s="144"/>
      <c r="AD14" s="28">
        <v>0</v>
      </c>
      <c r="AE14" s="142">
        <f>+AD14/AD15</f>
        <v>0</v>
      </c>
      <c r="AF14" s="144"/>
      <c r="AG14" s="28">
        <v>0</v>
      </c>
      <c r="AH14" s="142">
        <f>+AG14/AG15</f>
        <v>0</v>
      </c>
      <c r="AI14" s="144"/>
      <c r="AJ14" s="28">
        <v>0</v>
      </c>
      <c r="AK14" s="142">
        <f>+AJ14/AJ15</f>
        <v>0</v>
      </c>
      <c r="AL14" s="144"/>
      <c r="AM14" s="28">
        <v>0</v>
      </c>
      <c r="AN14" s="142">
        <f>+AM14/AM15</f>
        <v>0</v>
      </c>
      <c r="AO14" s="144"/>
      <c r="AP14" s="28">
        <v>0</v>
      </c>
      <c r="AQ14" s="142">
        <f>+AP14/AP15</f>
        <v>0</v>
      </c>
      <c r="AR14" s="163" t="s">
        <v>205</v>
      </c>
      <c r="AS14" s="28">
        <v>2</v>
      </c>
      <c r="AT14" s="142">
        <f>+AS14/AS15</f>
        <v>4.7619047619047616E-2</v>
      </c>
      <c r="AU14" s="144"/>
      <c r="AV14" s="28">
        <v>0</v>
      </c>
      <c r="AW14" s="142">
        <f>+AV14/AV15</f>
        <v>0</v>
      </c>
      <c r="AX14" s="163" t="s">
        <v>205</v>
      </c>
      <c r="AY14" s="28">
        <v>0</v>
      </c>
      <c r="AZ14" s="142">
        <f>+AY14/AY15</f>
        <v>0</v>
      </c>
    </row>
    <row r="15" spans="1:52" ht="38.25" x14ac:dyDescent="0.25">
      <c r="A15" s="146"/>
      <c r="B15" s="54" t="s">
        <v>24</v>
      </c>
      <c r="C15" s="20">
        <v>91</v>
      </c>
      <c r="D15" s="148"/>
      <c r="E15" s="54" t="s">
        <v>25</v>
      </c>
      <c r="F15" s="22">
        <v>52</v>
      </c>
      <c r="G15" s="150"/>
      <c r="H15" s="1" t="s">
        <v>25</v>
      </c>
      <c r="I15" s="24">
        <v>63</v>
      </c>
      <c r="J15" s="152"/>
      <c r="K15" s="2" t="s">
        <v>25</v>
      </c>
      <c r="L15" s="26">
        <v>55</v>
      </c>
      <c r="M15" s="154"/>
      <c r="N15" s="156" t="s">
        <v>25</v>
      </c>
      <c r="O15" s="27">
        <v>55</v>
      </c>
      <c r="P15" s="158"/>
      <c r="Q15" s="160" t="s">
        <v>25</v>
      </c>
      <c r="R15" s="28">
        <v>42</v>
      </c>
      <c r="S15" s="143"/>
      <c r="T15" s="145" t="s">
        <v>25</v>
      </c>
      <c r="U15" s="28">
        <v>29</v>
      </c>
      <c r="V15" s="143"/>
      <c r="W15" s="145" t="s">
        <v>25</v>
      </c>
      <c r="X15" s="28">
        <v>40</v>
      </c>
      <c r="Y15" s="143"/>
      <c r="Z15" s="145" t="s">
        <v>25</v>
      </c>
      <c r="AA15" s="28">
        <v>24</v>
      </c>
      <c r="AB15" s="143"/>
      <c r="AC15" s="145" t="s">
        <v>25</v>
      </c>
      <c r="AD15" s="28">
        <v>37</v>
      </c>
      <c r="AE15" s="143"/>
      <c r="AF15" s="145" t="s">
        <v>25</v>
      </c>
      <c r="AG15" s="28">
        <v>38</v>
      </c>
      <c r="AH15" s="143"/>
      <c r="AI15" s="145" t="s">
        <v>25</v>
      </c>
      <c r="AJ15" s="28">
        <v>64</v>
      </c>
      <c r="AK15" s="143"/>
      <c r="AL15" s="145" t="s">
        <v>25</v>
      </c>
      <c r="AM15" s="28">
        <v>44</v>
      </c>
      <c r="AN15" s="143"/>
      <c r="AO15" s="145" t="s">
        <v>25</v>
      </c>
      <c r="AP15" s="28">
        <v>49</v>
      </c>
      <c r="AQ15" s="143"/>
      <c r="AR15" s="164"/>
      <c r="AS15" s="28">
        <v>42</v>
      </c>
      <c r="AT15" s="143"/>
      <c r="AU15" s="145" t="s">
        <v>25</v>
      </c>
      <c r="AV15" s="28">
        <v>36</v>
      </c>
      <c r="AW15" s="143"/>
      <c r="AX15" s="164"/>
      <c r="AY15" s="28">
        <v>26</v>
      </c>
      <c r="AZ15" s="143"/>
    </row>
    <row r="16" spans="1:52" ht="25.5" x14ac:dyDescent="0.25">
      <c r="A16" s="146" t="s">
        <v>26</v>
      </c>
      <c r="B16" s="54" t="s">
        <v>27</v>
      </c>
      <c r="C16" s="20">
        <v>0</v>
      </c>
      <c r="D16" s="147">
        <f>+C16/C17</f>
        <v>0</v>
      </c>
      <c r="E16" s="21"/>
      <c r="F16" s="22">
        <v>0</v>
      </c>
      <c r="G16" s="149">
        <f>+F16/F17</f>
        <v>0</v>
      </c>
      <c r="H16" s="23"/>
      <c r="I16" s="24">
        <v>0</v>
      </c>
      <c r="J16" s="151">
        <f>+I16/I17</f>
        <v>0</v>
      </c>
      <c r="K16" s="25"/>
      <c r="L16" s="26">
        <v>0</v>
      </c>
      <c r="M16" s="153">
        <f>+L16/L17</f>
        <v>0</v>
      </c>
      <c r="N16" s="155"/>
      <c r="O16" s="27">
        <v>0</v>
      </c>
      <c r="P16" s="157">
        <f>+O16/O17</f>
        <v>0</v>
      </c>
      <c r="Q16" s="159"/>
      <c r="R16" s="28">
        <v>0</v>
      </c>
      <c r="S16" s="142">
        <f>+R16/R17</f>
        <v>0</v>
      </c>
      <c r="T16" s="144"/>
      <c r="U16" s="28">
        <v>0</v>
      </c>
      <c r="V16" s="142">
        <f>+U16/U17</f>
        <v>0</v>
      </c>
      <c r="W16" s="144"/>
      <c r="X16" s="28">
        <v>0</v>
      </c>
      <c r="Y16" s="142">
        <f>+X16/X17</f>
        <v>0</v>
      </c>
      <c r="Z16" s="144"/>
      <c r="AA16" s="28">
        <v>0</v>
      </c>
      <c r="AB16" s="142">
        <f>+AA16/AA17</f>
        <v>0</v>
      </c>
      <c r="AC16" s="144"/>
      <c r="AD16" s="28">
        <v>0</v>
      </c>
      <c r="AE16" s="142">
        <f>+AD16/AD17</f>
        <v>0</v>
      </c>
      <c r="AF16" s="144"/>
      <c r="AG16" s="28">
        <v>0</v>
      </c>
      <c r="AH16" s="142">
        <f>+AG16/AG17</f>
        <v>0</v>
      </c>
      <c r="AI16" s="144"/>
      <c r="AJ16" s="28">
        <v>0</v>
      </c>
      <c r="AK16" s="142">
        <f>+AJ16/AJ17</f>
        <v>0</v>
      </c>
      <c r="AL16" s="144"/>
      <c r="AM16" s="28">
        <v>0</v>
      </c>
      <c r="AN16" s="142">
        <f>+AM16/AM17</f>
        <v>0</v>
      </c>
      <c r="AO16" s="144"/>
      <c r="AP16" s="28">
        <v>0</v>
      </c>
      <c r="AQ16" s="142">
        <f>+AP16/AP17</f>
        <v>0</v>
      </c>
      <c r="AR16" s="144"/>
      <c r="AS16" s="28">
        <v>0</v>
      </c>
      <c r="AT16" s="142">
        <f>+AS16/AS17</f>
        <v>0</v>
      </c>
      <c r="AU16" s="144"/>
      <c r="AV16" s="28">
        <v>0</v>
      </c>
      <c r="AW16" s="142">
        <f>+AV16/AV17</f>
        <v>0</v>
      </c>
      <c r="AX16" s="144"/>
      <c r="AY16" s="28">
        <v>0</v>
      </c>
      <c r="AZ16" s="142">
        <f>+AY16/AY17</f>
        <v>0</v>
      </c>
    </row>
    <row r="17" spans="1:52" ht="38.25" x14ac:dyDescent="0.25">
      <c r="A17" s="146"/>
      <c r="B17" s="54" t="s">
        <v>28</v>
      </c>
      <c r="C17" s="20">
        <v>119</v>
      </c>
      <c r="D17" s="148"/>
      <c r="E17" s="54" t="s">
        <v>29</v>
      </c>
      <c r="F17" s="22">
        <v>64</v>
      </c>
      <c r="G17" s="150"/>
      <c r="H17" s="1" t="s">
        <v>29</v>
      </c>
      <c r="I17" s="24">
        <v>83</v>
      </c>
      <c r="J17" s="152"/>
      <c r="K17" s="2"/>
      <c r="L17" s="26">
        <v>74</v>
      </c>
      <c r="M17" s="154"/>
      <c r="N17" s="156"/>
      <c r="O17" s="27">
        <v>71</v>
      </c>
      <c r="P17" s="158"/>
      <c r="Q17" s="160"/>
      <c r="R17" s="28">
        <v>51</v>
      </c>
      <c r="S17" s="143"/>
      <c r="T17" s="145"/>
      <c r="U17" s="28">
        <v>37</v>
      </c>
      <c r="V17" s="143"/>
      <c r="W17" s="145"/>
      <c r="X17" s="28">
        <v>43</v>
      </c>
      <c r="Y17" s="143"/>
      <c r="Z17" s="145"/>
      <c r="AA17" s="28">
        <v>29</v>
      </c>
      <c r="AB17" s="143"/>
      <c r="AC17" s="145"/>
      <c r="AD17" s="28">
        <v>47</v>
      </c>
      <c r="AE17" s="143"/>
      <c r="AF17" s="145"/>
      <c r="AG17" s="28">
        <v>50</v>
      </c>
      <c r="AH17" s="143"/>
      <c r="AI17" s="145"/>
      <c r="AJ17" s="28">
        <v>74</v>
      </c>
      <c r="AK17" s="143"/>
      <c r="AL17" s="145"/>
      <c r="AM17" s="28">
        <v>105</v>
      </c>
      <c r="AN17" s="143"/>
      <c r="AO17" s="145"/>
      <c r="AP17" s="28">
        <v>66</v>
      </c>
      <c r="AQ17" s="143"/>
      <c r="AR17" s="145"/>
      <c r="AS17" s="28">
        <v>46</v>
      </c>
      <c r="AT17" s="143"/>
      <c r="AU17" s="145"/>
      <c r="AV17" s="28">
        <v>42</v>
      </c>
      <c r="AW17" s="143"/>
      <c r="AX17" s="145"/>
      <c r="AY17" s="28">
        <v>33</v>
      </c>
      <c r="AZ17" s="143"/>
    </row>
    <row r="18" spans="1:52" ht="25.5" x14ac:dyDescent="0.25">
      <c r="A18" s="146" t="s">
        <v>30</v>
      </c>
      <c r="B18" s="54" t="s">
        <v>31</v>
      </c>
      <c r="C18" s="20">
        <v>0</v>
      </c>
      <c r="D18" s="147">
        <f>+C18/C19</f>
        <v>0</v>
      </c>
      <c r="E18" s="21"/>
      <c r="F18" s="22">
        <v>0</v>
      </c>
      <c r="G18" s="149">
        <f>+F18/F19</f>
        <v>0</v>
      </c>
      <c r="H18" s="23"/>
      <c r="I18" s="24">
        <v>0</v>
      </c>
      <c r="J18" s="151">
        <f>+I18/I19</f>
        <v>0</v>
      </c>
      <c r="K18" s="25"/>
      <c r="L18" s="26">
        <v>0</v>
      </c>
      <c r="M18" s="153">
        <f>+L18/L19</f>
        <v>0</v>
      </c>
      <c r="N18" s="155"/>
      <c r="O18" s="27">
        <v>0</v>
      </c>
      <c r="P18" s="157">
        <f>+O18/O19</f>
        <v>0</v>
      </c>
      <c r="Q18" s="159"/>
      <c r="R18" s="28">
        <v>0</v>
      </c>
      <c r="S18" s="142">
        <f>+R18/R19</f>
        <v>0</v>
      </c>
      <c r="T18" s="144"/>
      <c r="U18" s="28">
        <v>0</v>
      </c>
      <c r="V18" s="142">
        <f>+U18/U19</f>
        <v>0</v>
      </c>
      <c r="W18" s="144"/>
      <c r="X18" s="28">
        <v>0</v>
      </c>
      <c r="Y18" s="142">
        <f>+X18/X19</f>
        <v>0</v>
      </c>
      <c r="Z18" s="144"/>
      <c r="AA18" s="28">
        <v>0</v>
      </c>
      <c r="AB18" s="142">
        <f>+AA18/AA19</f>
        <v>0</v>
      </c>
      <c r="AC18" s="144"/>
      <c r="AD18" s="28">
        <v>0</v>
      </c>
      <c r="AE18" s="142">
        <f>+AD18/AD19</f>
        <v>0</v>
      </c>
      <c r="AF18" s="144"/>
      <c r="AG18" s="28">
        <v>0</v>
      </c>
      <c r="AH18" s="142">
        <f>+AG18/AG19</f>
        <v>0</v>
      </c>
      <c r="AI18" s="144"/>
      <c r="AJ18" s="28">
        <v>0</v>
      </c>
      <c r="AK18" s="142">
        <f>+AJ18/AJ19</f>
        <v>0</v>
      </c>
      <c r="AL18" s="144"/>
      <c r="AM18" s="28">
        <v>0</v>
      </c>
      <c r="AN18" s="142">
        <f>+AM18/AM19</f>
        <v>0</v>
      </c>
      <c r="AO18" s="163" t="s">
        <v>195</v>
      </c>
      <c r="AP18" s="28">
        <v>0</v>
      </c>
      <c r="AQ18" s="142">
        <f>+AP18/AP19</f>
        <v>0</v>
      </c>
      <c r="AR18" s="163"/>
      <c r="AS18" s="28">
        <v>0</v>
      </c>
      <c r="AT18" s="142">
        <f>+AS18/AS19</f>
        <v>0</v>
      </c>
      <c r="AU18" s="163"/>
      <c r="AV18" s="28">
        <v>0</v>
      </c>
      <c r="AW18" s="142">
        <f>+AV18/AV19</f>
        <v>0</v>
      </c>
      <c r="AX18" s="163"/>
      <c r="AY18" s="28">
        <v>0</v>
      </c>
      <c r="AZ18" s="142">
        <f>+AY18/AY19</f>
        <v>0</v>
      </c>
    </row>
    <row r="19" spans="1:52" ht="38.25" x14ac:dyDescent="0.25">
      <c r="A19" s="146"/>
      <c r="B19" s="54" t="s">
        <v>32</v>
      </c>
      <c r="C19" s="20">
        <v>50</v>
      </c>
      <c r="D19" s="148"/>
      <c r="E19" s="54" t="s">
        <v>29</v>
      </c>
      <c r="F19" s="22">
        <v>26</v>
      </c>
      <c r="G19" s="150"/>
      <c r="H19" s="1" t="s">
        <v>29</v>
      </c>
      <c r="I19" s="24">
        <v>40</v>
      </c>
      <c r="J19" s="152"/>
      <c r="K19" s="2"/>
      <c r="L19" s="26">
        <v>12</v>
      </c>
      <c r="M19" s="154"/>
      <c r="N19" s="156"/>
      <c r="O19" s="27">
        <v>70</v>
      </c>
      <c r="P19" s="158"/>
      <c r="Q19" s="160"/>
      <c r="R19" s="28">
        <v>20</v>
      </c>
      <c r="S19" s="143"/>
      <c r="T19" s="145"/>
      <c r="U19" s="28">
        <v>29</v>
      </c>
      <c r="V19" s="143"/>
      <c r="W19" s="145"/>
      <c r="X19" s="28">
        <v>13</v>
      </c>
      <c r="Y19" s="143"/>
      <c r="Z19" s="145"/>
      <c r="AA19" s="28">
        <v>11</v>
      </c>
      <c r="AB19" s="143"/>
      <c r="AC19" s="145"/>
      <c r="AD19" s="28">
        <v>23</v>
      </c>
      <c r="AE19" s="143"/>
      <c r="AF19" s="145"/>
      <c r="AG19" s="28">
        <v>16</v>
      </c>
      <c r="AH19" s="143"/>
      <c r="AI19" s="145"/>
      <c r="AJ19" s="28">
        <v>6</v>
      </c>
      <c r="AK19" s="143"/>
      <c r="AL19" s="145"/>
      <c r="AM19" s="28">
        <v>1</v>
      </c>
      <c r="AN19" s="143"/>
      <c r="AO19" s="164"/>
      <c r="AP19" s="28">
        <v>10</v>
      </c>
      <c r="AQ19" s="143"/>
      <c r="AR19" s="164"/>
      <c r="AS19" s="28">
        <v>16</v>
      </c>
      <c r="AT19" s="143"/>
      <c r="AU19" s="164"/>
      <c r="AV19" s="28">
        <v>8</v>
      </c>
      <c r="AW19" s="143"/>
      <c r="AX19" s="164"/>
      <c r="AY19" s="28">
        <v>5</v>
      </c>
      <c r="AZ19" s="143"/>
    </row>
    <row r="20" spans="1:52" ht="38.25" x14ac:dyDescent="0.25">
      <c r="A20" s="146" t="s">
        <v>33</v>
      </c>
      <c r="B20" s="54" t="s">
        <v>34</v>
      </c>
      <c r="C20" s="20">
        <v>1267</v>
      </c>
      <c r="D20" s="147">
        <f>+C20/C21</f>
        <v>1</v>
      </c>
      <c r="E20" s="21"/>
      <c r="F20" s="22">
        <f>195+61</f>
        <v>256</v>
      </c>
      <c r="G20" s="149">
        <f>+F20/F21</f>
        <v>1</v>
      </c>
      <c r="H20" s="23"/>
      <c r="I20" s="24">
        <v>201</v>
      </c>
      <c r="J20" s="151">
        <f>+I20/I21</f>
        <v>1</v>
      </c>
      <c r="K20" s="25"/>
      <c r="L20" s="26">
        <v>193</v>
      </c>
      <c r="M20" s="153">
        <f>+L20/L21</f>
        <v>1</v>
      </c>
      <c r="N20" s="155"/>
      <c r="O20" s="27">
        <v>203</v>
      </c>
      <c r="P20" s="157">
        <f>+O20/O21</f>
        <v>1</v>
      </c>
      <c r="Q20" s="159"/>
      <c r="R20" s="28">
        <v>267</v>
      </c>
      <c r="S20" s="142">
        <f>+R20/R21</f>
        <v>1</v>
      </c>
      <c r="T20" s="144"/>
      <c r="U20" s="28">
        <v>191</v>
      </c>
      <c r="V20" s="142">
        <f>+U20/U21</f>
        <v>1</v>
      </c>
      <c r="W20" s="144"/>
      <c r="X20" s="28">
        <v>187</v>
      </c>
      <c r="Y20" s="142">
        <f>+X20/X21</f>
        <v>1</v>
      </c>
      <c r="Z20" s="144"/>
      <c r="AA20" s="28">
        <v>126</v>
      </c>
      <c r="AB20" s="142">
        <f>+AA20/AA21</f>
        <v>1</v>
      </c>
      <c r="AC20" s="144"/>
      <c r="AD20" s="28">
        <v>218</v>
      </c>
      <c r="AE20" s="142">
        <f>+AD20/AD21</f>
        <v>1</v>
      </c>
      <c r="AF20" s="144"/>
      <c r="AG20" s="28">
        <v>175</v>
      </c>
      <c r="AH20" s="142">
        <f>+AG20/AG21</f>
        <v>1</v>
      </c>
      <c r="AI20" s="144"/>
      <c r="AJ20" s="28">
        <v>186</v>
      </c>
      <c r="AK20" s="142">
        <f>+AJ20/AJ21</f>
        <v>1</v>
      </c>
      <c r="AL20" s="144"/>
      <c r="AM20" s="28">
        <v>181</v>
      </c>
      <c r="AN20" s="142">
        <f>+AM20/AM21</f>
        <v>1</v>
      </c>
      <c r="AO20" s="144"/>
      <c r="AP20" s="28">
        <v>165</v>
      </c>
      <c r="AQ20" s="142">
        <f>+AP20/AP21</f>
        <v>1</v>
      </c>
      <c r="AR20" s="144"/>
      <c r="AS20" s="28">
        <v>159</v>
      </c>
      <c r="AT20" s="142">
        <f>+AS20/AS21</f>
        <v>1</v>
      </c>
      <c r="AU20" s="144"/>
      <c r="AV20" s="28">
        <v>151</v>
      </c>
      <c r="AW20" s="142">
        <f>+AV20/AV21</f>
        <v>1</v>
      </c>
      <c r="AX20" s="144"/>
      <c r="AY20" s="28">
        <v>143</v>
      </c>
      <c r="AZ20" s="142">
        <f>+AY20/AY21</f>
        <v>1</v>
      </c>
    </row>
    <row r="21" spans="1:52" x14ac:dyDescent="0.25">
      <c r="A21" s="146"/>
      <c r="B21" s="54" t="s">
        <v>9</v>
      </c>
      <c r="C21" s="20">
        <v>1267</v>
      </c>
      <c r="D21" s="148"/>
      <c r="E21" s="21"/>
      <c r="F21" s="22">
        <v>256</v>
      </c>
      <c r="G21" s="150"/>
      <c r="H21" s="23"/>
      <c r="I21" s="24">
        <v>201</v>
      </c>
      <c r="J21" s="152"/>
      <c r="K21" s="25"/>
      <c r="L21" s="26">
        <v>193</v>
      </c>
      <c r="M21" s="154"/>
      <c r="N21" s="156"/>
      <c r="O21" s="27">
        <v>203</v>
      </c>
      <c r="P21" s="158"/>
      <c r="Q21" s="160"/>
      <c r="R21" s="28">
        <v>267</v>
      </c>
      <c r="S21" s="143"/>
      <c r="T21" s="145"/>
      <c r="U21" s="28">
        <v>191</v>
      </c>
      <c r="V21" s="143"/>
      <c r="W21" s="145"/>
      <c r="X21" s="28">
        <v>187</v>
      </c>
      <c r="Y21" s="143"/>
      <c r="Z21" s="145"/>
      <c r="AA21" s="28">
        <v>126</v>
      </c>
      <c r="AB21" s="143"/>
      <c r="AC21" s="145"/>
      <c r="AD21" s="28">
        <v>218</v>
      </c>
      <c r="AE21" s="143"/>
      <c r="AF21" s="145"/>
      <c r="AG21" s="28">
        <v>175</v>
      </c>
      <c r="AH21" s="143"/>
      <c r="AI21" s="145"/>
      <c r="AJ21" s="28">
        <v>186</v>
      </c>
      <c r="AK21" s="143"/>
      <c r="AL21" s="145"/>
      <c r="AM21" s="28">
        <v>181</v>
      </c>
      <c r="AN21" s="143"/>
      <c r="AO21" s="145"/>
      <c r="AP21" s="28">
        <v>165</v>
      </c>
      <c r="AQ21" s="143"/>
      <c r="AR21" s="145"/>
      <c r="AS21" s="28">
        <v>159</v>
      </c>
      <c r="AT21" s="143"/>
      <c r="AU21" s="145"/>
      <c r="AV21" s="28">
        <v>151</v>
      </c>
      <c r="AW21" s="143"/>
      <c r="AX21" s="145"/>
      <c r="AY21" s="28">
        <v>143</v>
      </c>
      <c r="AZ21" s="143"/>
    </row>
    <row r="22" spans="1:52" ht="51" x14ac:dyDescent="0.25">
      <c r="A22" s="146" t="s">
        <v>35</v>
      </c>
      <c r="B22" s="54" t="s">
        <v>36</v>
      </c>
      <c r="C22" s="20">
        <v>0</v>
      </c>
      <c r="D22" s="147">
        <v>0</v>
      </c>
      <c r="E22" s="21"/>
      <c r="F22" s="22">
        <v>0</v>
      </c>
      <c r="G22" s="149">
        <v>0</v>
      </c>
      <c r="H22" s="23"/>
      <c r="I22" s="24">
        <v>0</v>
      </c>
      <c r="J22" s="151">
        <v>0</v>
      </c>
      <c r="K22" s="25"/>
      <c r="L22" s="26">
        <v>0</v>
      </c>
      <c r="M22" s="153">
        <v>0</v>
      </c>
      <c r="N22" s="155"/>
      <c r="O22" s="27">
        <v>0</v>
      </c>
      <c r="P22" s="157">
        <v>0</v>
      </c>
      <c r="Q22" s="159"/>
      <c r="R22" s="28">
        <v>0</v>
      </c>
      <c r="S22" s="142">
        <v>0</v>
      </c>
      <c r="T22" s="144"/>
      <c r="U22" s="28">
        <v>0</v>
      </c>
      <c r="V22" s="142">
        <v>0</v>
      </c>
      <c r="W22" s="144"/>
      <c r="X22" s="28">
        <v>0</v>
      </c>
      <c r="Y22" s="142">
        <v>0</v>
      </c>
      <c r="Z22" s="144"/>
      <c r="AA22" s="28">
        <v>0</v>
      </c>
      <c r="AB22" s="142">
        <v>0</v>
      </c>
      <c r="AC22" s="144"/>
      <c r="AD22" s="28">
        <v>0</v>
      </c>
      <c r="AE22" s="142">
        <v>0</v>
      </c>
      <c r="AF22" s="144"/>
      <c r="AG22" s="28">
        <v>0</v>
      </c>
      <c r="AH22" s="142">
        <v>0</v>
      </c>
      <c r="AI22" s="144"/>
      <c r="AJ22" s="28">
        <v>0</v>
      </c>
      <c r="AK22" s="142">
        <v>0</v>
      </c>
      <c r="AL22" s="144"/>
      <c r="AM22" s="28">
        <v>0</v>
      </c>
      <c r="AN22" s="142">
        <v>0</v>
      </c>
      <c r="AO22" s="144"/>
      <c r="AP22" s="28">
        <v>0</v>
      </c>
      <c r="AQ22" s="142">
        <v>0</v>
      </c>
      <c r="AR22" s="144"/>
      <c r="AS22" s="28">
        <v>1</v>
      </c>
      <c r="AT22" s="142">
        <v>0</v>
      </c>
      <c r="AU22" s="144"/>
      <c r="AV22" s="28">
        <v>0</v>
      </c>
      <c r="AW22" s="142">
        <v>0</v>
      </c>
      <c r="AX22" s="144"/>
      <c r="AY22" s="28">
        <v>0</v>
      </c>
      <c r="AZ22" s="142">
        <v>0</v>
      </c>
    </row>
    <row r="23" spans="1:52" ht="38.25" x14ac:dyDescent="0.25">
      <c r="A23" s="146"/>
      <c r="B23" s="54" t="s">
        <v>37</v>
      </c>
      <c r="C23" s="20">
        <v>0</v>
      </c>
      <c r="D23" s="148"/>
      <c r="E23" s="21"/>
      <c r="F23" s="22">
        <v>0</v>
      </c>
      <c r="G23" s="150"/>
      <c r="H23" s="23"/>
      <c r="I23" s="24">
        <v>0</v>
      </c>
      <c r="J23" s="152"/>
      <c r="K23" s="25"/>
      <c r="L23" s="26">
        <v>0</v>
      </c>
      <c r="M23" s="154"/>
      <c r="N23" s="156"/>
      <c r="O23" s="27">
        <v>0</v>
      </c>
      <c r="P23" s="158"/>
      <c r="Q23" s="160"/>
      <c r="R23" s="28">
        <v>0</v>
      </c>
      <c r="S23" s="143"/>
      <c r="T23" s="145"/>
      <c r="U23" s="28">
        <v>0</v>
      </c>
      <c r="V23" s="143"/>
      <c r="W23" s="145"/>
      <c r="X23" s="28">
        <v>0</v>
      </c>
      <c r="Y23" s="143"/>
      <c r="Z23" s="145"/>
      <c r="AA23" s="28">
        <v>0</v>
      </c>
      <c r="AB23" s="143"/>
      <c r="AC23" s="145"/>
      <c r="AD23" s="28">
        <v>0</v>
      </c>
      <c r="AE23" s="143"/>
      <c r="AF23" s="145"/>
      <c r="AG23" s="28">
        <v>0</v>
      </c>
      <c r="AH23" s="143"/>
      <c r="AI23" s="145"/>
      <c r="AJ23" s="28">
        <v>0</v>
      </c>
      <c r="AK23" s="143"/>
      <c r="AL23" s="145"/>
      <c r="AM23" s="28">
        <v>0</v>
      </c>
      <c r="AN23" s="143"/>
      <c r="AO23" s="145"/>
      <c r="AP23" s="28">
        <v>0</v>
      </c>
      <c r="AQ23" s="143"/>
      <c r="AR23" s="145"/>
      <c r="AS23" s="28">
        <v>1</v>
      </c>
      <c r="AT23" s="143"/>
      <c r="AU23" s="145"/>
      <c r="AV23" s="28">
        <v>0</v>
      </c>
      <c r="AW23" s="143"/>
      <c r="AX23" s="145"/>
      <c r="AY23" s="28">
        <v>0</v>
      </c>
      <c r="AZ23" s="143"/>
    </row>
    <row r="24" spans="1:52" ht="51" x14ac:dyDescent="0.25">
      <c r="A24" s="146" t="s">
        <v>38</v>
      </c>
      <c r="B24" s="54" t="s">
        <v>39</v>
      </c>
      <c r="C24" s="20">
        <v>1267</v>
      </c>
      <c r="D24" s="147">
        <f>+C24/C25</f>
        <v>0.68783930510314872</v>
      </c>
      <c r="E24" s="21"/>
      <c r="F24" s="22">
        <v>0</v>
      </c>
      <c r="G24" s="149" t="s">
        <v>47</v>
      </c>
      <c r="H24" s="23"/>
      <c r="I24" s="24">
        <v>0</v>
      </c>
      <c r="J24" s="151" t="s">
        <v>47</v>
      </c>
      <c r="K24" s="25"/>
      <c r="L24" s="26">
        <v>0</v>
      </c>
      <c r="M24" s="153" t="s">
        <v>47</v>
      </c>
      <c r="N24" s="155"/>
      <c r="O24" s="27">
        <v>0</v>
      </c>
      <c r="P24" s="157" t="s">
        <v>47</v>
      </c>
      <c r="Q24" s="159"/>
      <c r="R24" s="28">
        <v>0</v>
      </c>
      <c r="S24" s="142" t="s">
        <v>47</v>
      </c>
      <c r="T24" s="144"/>
      <c r="U24" s="28">
        <v>0</v>
      </c>
      <c r="V24" s="142" t="s">
        <v>47</v>
      </c>
      <c r="W24" s="144"/>
      <c r="X24" s="28">
        <v>0</v>
      </c>
      <c r="Y24" s="142" t="s">
        <v>47</v>
      </c>
      <c r="Z24" s="144"/>
      <c r="AA24" s="28">
        <v>0</v>
      </c>
      <c r="AB24" s="142" t="s">
        <v>47</v>
      </c>
      <c r="AC24" s="144"/>
      <c r="AD24" s="28">
        <v>0</v>
      </c>
      <c r="AE24" s="142" t="s">
        <v>47</v>
      </c>
      <c r="AF24" s="144"/>
      <c r="AG24" s="28">
        <v>0</v>
      </c>
      <c r="AH24" s="142" t="s">
        <v>47</v>
      </c>
      <c r="AI24" s="144"/>
      <c r="AJ24" s="28">
        <v>0</v>
      </c>
      <c r="AK24" s="142" t="s">
        <v>47</v>
      </c>
      <c r="AL24" s="144"/>
      <c r="AM24" s="28" t="s">
        <v>47</v>
      </c>
      <c r="AN24" s="142" t="s">
        <v>47</v>
      </c>
      <c r="AO24" s="144"/>
      <c r="AP24" s="28" t="s">
        <v>47</v>
      </c>
      <c r="AQ24" s="142" t="s">
        <v>47</v>
      </c>
      <c r="AR24" s="144"/>
      <c r="AS24" s="28" t="s">
        <v>47</v>
      </c>
      <c r="AT24" s="142" t="s">
        <v>47</v>
      </c>
      <c r="AU24" s="144"/>
      <c r="AV24" s="28" t="s">
        <v>47</v>
      </c>
      <c r="AW24" s="142" t="s">
        <v>47</v>
      </c>
      <c r="AX24" s="144"/>
      <c r="AY24" s="28" t="s">
        <v>47</v>
      </c>
      <c r="AZ24" s="142" t="s">
        <v>47</v>
      </c>
    </row>
    <row r="25" spans="1:52" ht="51" x14ac:dyDescent="0.25">
      <c r="A25" s="146"/>
      <c r="B25" s="54" t="s">
        <v>40</v>
      </c>
      <c r="C25" s="20">
        <f>1267+575</f>
        <v>1842</v>
      </c>
      <c r="D25" s="148"/>
      <c r="E25" s="54" t="s">
        <v>41</v>
      </c>
      <c r="F25" s="22">
        <v>0</v>
      </c>
      <c r="G25" s="150"/>
      <c r="H25" s="1" t="s">
        <v>41</v>
      </c>
      <c r="I25" s="24">
        <v>0</v>
      </c>
      <c r="J25" s="152"/>
      <c r="K25" s="2"/>
      <c r="L25" s="26">
        <v>0</v>
      </c>
      <c r="M25" s="154"/>
      <c r="N25" s="156"/>
      <c r="O25" s="27">
        <v>0</v>
      </c>
      <c r="P25" s="158"/>
      <c r="Q25" s="160"/>
      <c r="R25" s="28">
        <v>0</v>
      </c>
      <c r="S25" s="143"/>
      <c r="T25" s="145"/>
      <c r="U25" s="28">
        <v>0</v>
      </c>
      <c r="V25" s="143"/>
      <c r="W25" s="145"/>
      <c r="X25" s="28">
        <v>0</v>
      </c>
      <c r="Y25" s="143"/>
      <c r="Z25" s="145"/>
      <c r="AA25" s="28">
        <v>0</v>
      </c>
      <c r="AB25" s="143"/>
      <c r="AC25" s="145"/>
      <c r="AD25" s="28">
        <v>0</v>
      </c>
      <c r="AE25" s="143"/>
      <c r="AF25" s="145"/>
      <c r="AG25" s="28">
        <v>0</v>
      </c>
      <c r="AH25" s="143"/>
      <c r="AI25" s="145"/>
      <c r="AJ25" s="28">
        <v>0</v>
      </c>
      <c r="AK25" s="143"/>
      <c r="AL25" s="145"/>
      <c r="AM25" s="28" t="s">
        <v>47</v>
      </c>
      <c r="AN25" s="143"/>
      <c r="AO25" s="145"/>
      <c r="AP25" s="28" t="s">
        <v>47</v>
      </c>
      <c r="AQ25" s="143"/>
      <c r="AR25" s="145"/>
      <c r="AS25" s="28" t="s">
        <v>47</v>
      </c>
      <c r="AT25" s="143"/>
      <c r="AU25" s="145"/>
      <c r="AV25" s="28" t="s">
        <v>47</v>
      </c>
      <c r="AW25" s="143"/>
      <c r="AX25" s="145"/>
      <c r="AY25" s="28" t="s">
        <v>47</v>
      </c>
      <c r="AZ25" s="143"/>
    </row>
    <row r="26" spans="1:52" ht="38.25" x14ac:dyDescent="0.25">
      <c r="A26" s="146" t="s">
        <v>42</v>
      </c>
      <c r="B26" s="54" t="s">
        <v>43</v>
      </c>
      <c r="C26" s="20">
        <v>2</v>
      </c>
      <c r="D26" s="147">
        <f>+C26/C27</f>
        <v>1</v>
      </c>
      <c r="E26" s="21"/>
      <c r="F26" s="22">
        <v>0</v>
      </c>
      <c r="G26" s="149">
        <f>+F26/F27</f>
        <v>0</v>
      </c>
      <c r="H26" s="23"/>
      <c r="I26" s="24">
        <v>0</v>
      </c>
      <c r="J26" s="151">
        <v>0</v>
      </c>
      <c r="K26" s="25"/>
      <c r="L26" s="26">
        <v>0</v>
      </c>
      <c r="M26" s="153">
        <v>0</v>
      </c>
      <c r="N26" s="155"/>
      <c r="O26" s="27">
        <v>1</v>
      </c>
      <c r="P26" s="157">
        <f>O26/O27</f>
        <v>1</v>
      </c>
      <c r="Q26" s="159"/>
      <c r="R26" s="28">
        <v>1</v>
      </c>
      <c r="S26" s="142">
        <f>R26/R27</f>
        <v>1</v>
      </c>
      <c r="T26" s="144"/>
      <c r="U26" s="28">
        <v>1</v>
      </c>
      <c r="V26" s="142">
        <f>U26/U27</f>
        <v>1</v>
      </c>
      <c r="W26" s="144"/>
      <c r="X26" s="28">
        <v>0</v>
      </c>
      <c r="Y26" s="142" t="e">
        <f>X26/X27</f>
        <v>#DIV/0!</v>
      </c>
      <c r="Z26" s="163" t="s">
        <v>181</v>
      </c>
      <c r="AA26" s="28">
        <v>1</v>
      </c>
      <c r="AB26" s="142">
        <f>AA26/AA27</f>
        <v>1</v>
      </c>
      <c r="AC26" s="163"/>
      <c r="AD26" s="28">
        <v>0</v>
      </c>
      <c r="AE26" s="142" t="e">
        <f>AD26/AD27</f>
        <v>#DIV/0!</v>
      </c>
      <c r="AF26" s="163" t="s">
        <v>181</v>
      </c>
      <c r="AG26" s="28">
        <v>0</v>
      </c>
      <c r="AH26" s="142" t="e">
        <f>AG26/AG27</f>
        <v>#DIV/0!</v>
      </c>
      <c r="AI26" s="163" t="s">
        <v>181</v>
      </c>
      <c r="AJ26" s="28">
        <v>0</v>
      </c>
      <c r="AK26" s="142" t="e">
        <f>AJ26/AJ27</f>
        <v>#DIV/0!</v>
      </c>
      <c r="AL26" s="163" t="s">
        <v>181</v>
      </c>
      <c r="AM26" s="28">
        <v>0</v>
      </c>
      <c r="AN26" s="142" t="e">
        <f>AM26/AM27</f>
        <v>#DIV/0!</v>
      </c>
      <c r="AO26" s="163" t="s">
        <v>181</v>
      </c>
      <c r="AP26" s="28">
        <v>0</v>
      </c>
      <c r="AQ26" s="142" t="e">
        <f>AP26/AP27</f>
        <v>#DIV/0!</v>
      </c>
      <c r="AR26" s="163" t="s">
        <v>181</v>
      </c>
      <c r="AS26" s="28">
        <v>0</v>
      </c>
      <c r="AT26" s="142" t="e">
        <f>AS26/AS27</f>
        <v>#DIV/0!</v>
      </c>
      <c r="AU26" s="163" t="s">
        <v>181</v>
      </c>
      <c r="AV26" s="28">
        <v>0</v>
      </c>
      <c r="AW26" s="142" t="e">
        <f>AV26/AV27</f>
        <v>#DIV/0!</v>
      </c>
      <c r="AX26" s="163" t="s">
        <v>181</v>
      </c>
      <c r="AY26" s="28">
        <v>0</v>
      </c>
      <c r="AZ26" s="142" t="e">
        <f>AY26/AY27</f>
        <v>#DIV/0!</v>
      </c>
    </row>
    <row r="27" spans="1:52" ht="38.25" x14ac:dyDescent="0.25">
      <c r="A27" s="146"/>
      <c r="B27" s="54" t="s">
        <v>44</v>
      </c>
      <c r="C27" s="20">
        <v>2</v>
      </c>
      <c r="D27" s="148"/>
      <c r="E27" s="21"/>
      <c r="F27" s="22">
        <v>2</v>
      </c>
      <c r="G27" s="150"/>
      <c r="H27" s="23"/>
      <c r="I27" s="24">
        <v>0</v>
      </c>
      <c r="J27" s="152"/>
      <c r="K27" s="25"/>
      <c r="L27" s="26">
        <v>0</v>
      </c>
      <c r="M27" s="154"/>
      <c r="N27" s="156"/>
      <c r="O27" s="27">
        <v>1</v>
      </c>
      <c r="P27" s="158"/>
      <c r="Q27" s="160"/>
      <c r="R27" s="28">
        <v>1</v>
      </c>
      <c r="S27" s="143"/>
      <c r="T27" s="145"/>
      <c r="U27" s="28">
        <v>1</v>
      </c>
      <c r="V27" s="143"/>
      <c r="W27" s="145"/>
      <c r="X27" s="28">
        <v>0</v>
      </c>
      <c r="Y27" s="143"/>
      <c r="Z27" s="164"/>
      <c r="AA27" s="28">
        <v>1</v>
      </c>
      <c r="AB27" s="143"/>
      <c r="AC27" s="164"/>
      <c r="AD27" s="28">
        <v>0</v>
      </c>
      <c r="AE27" s="143"/>
      <c r="AF27" s="164"/>
      <c r="AG27" s="28">
        <v>0</v>
      </c>
      <c r="AH27" s="143"/>
      <c r="AI27" s="164"/>
      <c r="AJ27" s="28">
        <v>0</v>
      </c>
      <c r="AK27" s="143"/>
      <c r="AL27" s="164"/>
      <c r="AM27" s="28">
        <v>0</v>
      </c>
      <c r="AN27" s="143"/>
      <c r="AO27" s="164"/>
      <c r="AP27" s="28">
        <v>0</v>
      </c>
      <c r="AQ27" s="143"/>
      <c r="AR27" s="164"/>
      <c r="AS27" s="28">
        <v>0</v>
      </c>
      <c r="AT27" s="143"/>
      <c r="AU27" s="164"/>
      <c r="AV27" s="28">
        <v>0</v>
      </c>
      <c r="AW27" s="143"/>
      <c r="AX27" s="164"/>
      <c r="AY27" s="28">
        <v>0</v>
      </c>
      <c r="AZ27" s="143"/>
    </row>
    <row r="28" spans="1:52" ht="51" hidden="1" x14ac:dyDescent="0.25">
      <c r="A28" s="169" t="s">
        <v>45</v>
      </c>
      <c r="B28" s="56" t="s">
        <v>46</v>
      </c>
      <c r="C28" s="57">
        <v>0</v>
      </c>
      <c r="D28" s="165" t="s">
        <v>47</v>
      </c>
      <c r="E28" s="58"/>
      <c r="F28" s="57">
        <v>0</v>
      </c>
      <c r="G28" s="165" t="s">
        <v>47</v>
      </c>
      <c r="H28" s="58"/>
      <c r="I28" s="57">
        <v>0</v>
      </c>
      <c r="J28" s="165" t="s">
        <v>47</v>
      </c>
      <c r="K28" s="58"/>
      <c r="L28" s="57">
        <v>0</v>
      </c>
      <c r="M28" s="165" t="s">
        <v>47</v>
      </c>
      <c r="N28" s="167"/>
      <c r="O28" s="57">
        <v>0</v>
      </c>
      <c r="P28" s="165" t="s">
        <v>47</v>
      </c>
      <c r="Q28" s="167"/>
      <c r="R28" s="57">
        <v>0</v>
      </c>
      <c r="S28" s="165" t="s">
        <v>47</v>
      </c>
      <c r="T28" s="167"/>
      <c r="U28" s="57">
        <v>0</v>
      </c>
      <c r="V28" s="165" t="s">
        <v>47</v>
      </c>
      <c r="W28" s="167"/>
      <c r="X28" s="57">
        <v>0</v>
      </c>
      <c r="Y28" s="165" t="s">
        <v>47</v>
      </c>
      <c r="Z28" s="167"/>
      <c r="AA28" s="57">
        <v>0</v>
      </c>
      <c r="AB28" s="165" t="s">
        <v>47</v>
      </c>
      <c r="AC28" s="167"/>
      <c r="AD28" s="57">
        <v>0</v>
      </c>
      <c r="AE28" s="165" t="s">
        <v>47</v>
      </c>
      <c r="AF28" s="167"/>
      <c r="AG28" s="57">
        <v>0</v>
      </c>
      <c r="AH28" s="165" t="s">
        <v>47</v>
      </c>
      <c r="AI28" s="167"/>
      <c r="AJ28" s="57">
        <v>0</v>
      </c>
      <c r="AK28" s="165" t="s">
        <v>47</v>
      </c>
      <c r="AL28" s="167"/>
      <c r="AM28" s="57" t="s">
        <v>47</v>
      </c>
      <c r="AN28" s="165" t="s">
        <v>47</v>
      </c>
      <c r="AO28" s="167"/>
      <c r="AP28" s="57" t="s">
        <v>47</v>
      </c>
      <c r="AQ28" s="165" t="s">
        <v>47</v>
      </c>
      <c r="AR28" s="167"/>
      <c r="AS28" s="57" t="s">
        <v>47</v>
      </c>
      <c r="AT28" s="165" t="s">
        <v>47</v>
      </c>
      <c r="AU28" s="167"/>
      <c r="AV28" s="57" t="s">
        <v>47</v>
      </c>
      <c r="AW28" s="165" t="s">
        <v>47</v>
      </c>
      <c r="AX28" s="167"/>
      <c r="AY28" s="57" t="s">
        <v>47</v>
      </c>
      <c r="AZ28" s="165" t="s">
        <v>47</v>
      </c>
    </row>
    <row r="29" spans="1:52" ht="25.5" hidden="1" x14ac:dyDescent="0.25">
      <c r="A29" s="169"/>
      <c r="B29" s="56" t="s">
        <v>48</v>
      </c>
      <c r="C29" s="57">
        <v>0</v>
      </c>
      <c r="D29" s="166"/>
      <c r="E29" s="58"/>
      <c r="F29" s="57">
        <v>0</v>
      </c>
      <c r="G29" s="166"/>
      <c r="H29" s="58"/>
      <c r="I29" s="57">
        <v>0</v>
      </c>
      <c r="J29" s="166"/>
      <c r="K29" s="58"/>
      <c r="L29" s="57">
        <v>0</v>
      </c>
      <c r="M29" s="166"/>
      <c r="N29" s="168"/>
      <c r="O29" s="57">
        <v>0</v>
      </c>
      <c r="P29" s="166"/>
      <c r="Q29" s="168"/>
      <c r="R29" s="57">
        <v>0</v>
      </c>
      <c r="S29" s="166"/>
      <c r="T29" s="168"/>
      <c r="U29" s="57">
        <v>0</v>
      </c>
      <c r="V29" s="166"/>
      <c r="W29" s="168"/>
      <c r="X29" s="57">
        <v>0</v>
      </c>
      <c r="Y29" s="166"/>
      <c r="Z29" s="168"/>
      <c r="AA29" s="57">
        <v>0</v>
      </c>
      <c r="AB29" s="166"/>
      <c r="AC29" s="168"/>
      <c r="AD29" s="57">
        <v>0</v>
      </c>
      <c r="AE29" s="166"/>
      <c r="AF29" s="168"/>
      <c r="AG29" s="57">
        <v>0</v>
      </c>
      <c r="AH29" s="166"/>
      <c r="AI29" s="168"/>
      <c r="AJ29" s="57">
        <v>0</v>
      </c>
      <c r="AK29" s="166"/>
      <c r="AL29" s="168"/>
      <c r="AM29" s="57" t="s">
        <v>47</v>
      </c>
      <c r="AN29" s="166"/>
      <c r="AO29" s="168"/>
      <c r="AP29" s="57" t="s">
        <v>47</v>
      </c>
      <c r="AQ29" s="166"/>
      <c r="AR29" s="168"/>
      <c r="AS29" s="57" t="s">
        <v>47</v>
      </c>
      <c r="AT29" s="166"/>
      <c r="AU29" s="168"/>
      <c r="AV29" s="57" t="s">
        <v>47</v>
      </c>
      <c r="AW29" s="166"/>
      <c r="AX29" s="168"/>
      <c r="AY29" s="57" t="s">
        <v>47</v>
      </c>
      <c r="AZ29" s="166"/>
    </row>
    <row r="30" spans="1:52" ht="63.75" hidden="1" x14ac:dyDescent="0.25">
      <c r="A30" s="169" t="s">
        <v>49</v>
      </c>
      <c r="B30" s="56" t="s">
        <v>50</v>
      </c>
      <c r="C30" s="57">
        <v>0</v>
      </c>
      <c r="D30" s="165" t="s">
        <v>47</v>
      </c>
      <c r="E30" s="58"/>
      <c r="F30" s="57">
        <v>0</v>
      </c>
      <c r="G30" s="165" t="s">
        <v>47</v>
      </c>
      <c r="H30" s="58"/>
      <c r="I30" s="57">
        <v>0</v>
      </c>
      <c r="J30" s="165" t="s">
        <v>47</v>
      </c>
      <c r="K30" s="58"/>
      <c r="L30" s="57">
        <v>0</v>
      </c>
      <c r="M30" s="165" t="s">
        <v>47</v>
      </c>
      <c r="N30" s="167"/>
      <c r="O30" s="57">
        <v>0</v>
      </c>
      <c r="P30" s="165" t="s">
        <v>47</v>
      </c>
      <c r="Q30" s="167"/>
      <c r="R30" s="57">
        <v>0</v>
      </c>
      <c r="S30" s="165" t="s">
        <v>47</v>
      </c>
      <c r="T30" s="167"/>
      <c r="U30" s="57">
        <v>0</v>
      </c>
      <c r="V30" s="165" t="s">
        <v>47</v>
      </c>
      <c r="W30" s="167"/>
      <c r="X30" s="57">
        <v>0</v>
      </c>
      <c r="Y30" s="165" t="s">
        <v>47</v>
      </c>
      <c r="Z30" s="167"/>
      <c r="AA30" s="57">
        <v>0</v>
      </c>
      <c r="AB30" s="165" t="s">
        <v>47</v>
      </c>
      <c r="AC30" s="167"/>
      <c r="AD30" s="57">
        <v>0</v>
      </c>
      <c r="AE30" s="165" t="s">
        <v>47</v>
      </c>
      <c r="AF30" s="167"/>
      <c r="AG30" s="57">
        <v>0</v>
      </c>
      <c r="AH30" s="165" t="s">
        <v>47</v>
      </c>
      <c r="AI30" s="167"/>
      <c r="AJ30" s="57">
        <v>0</v>
      </c>
      <c r="AK30" s="165" t="s">
        <v>47</v>
      </c>
      <c r="AL30" s="167"/>
      <c r="AM30" s="57" t="s">
        <v>47</v>
      </c>
      <c r="AN30" s="165" t="s">
        <v>47</v>
      </c>
      <c r="AO30" s="167"/>
      <c r="AP30" s="57" t="s">
        <v>47</v>
      </c>
      <c r="AQ30" s="165" t="s">
        <v>47</v>
      </c>
      <c r="AR30" s="167"/>
      <c r="AS30" s="57" t="s">
        <v>47</v>
      </c>
      <c r="AT30" s="165" t="s">
        <v>47</v>
      </c>
      <c r="AU30" s="167"/>
      <c r="AV30" s="57" t="s">
        <v>47</v>
      </c>
      <c r="AW30" s="165" t="s">
        <v>47</v>
      </c>
      <c r="AX30" s="167"/>
      <c r="AY30" s="57" t="s">
        <v>47</v>
      </c>
      <c r="AZ30" s="165" t="s">
        <v>47</v>
      </c>
    </row>
    <row r="31" spans="1:52" ht="25.5" hidden="1" x14ac:dyDescent="0.25">
      <c r="A31" s="169"/>
      <c r="B31" s="56" t="s">
        <v>51</v>
      </c>
      <c r="C31" s="57">
        <v>0</v>
      </c>
      <c r="D31" s="166"/>
      <c r="E31" s="58"/>
      <c r="F31" s="57">
        <v>0</v>
      </c>
      <c r="G31" s="166"/>
      <c r="H31" s="58"/>
      <c r="I31" s="57">
        <v>0</v>
      </c>
      <c r="J31" s="166"/>
      <c r="K31" s="58"/>
      <c r="L31" s="57">
        <v>0</v>
      </c>
      <c r="M31" s="166"/>
      <c r="N31" s="168"/>
      <c r="O31" s="57">
        <v>0</v>
      </c>
      <c r="P31" s="166"/>
      <c r="Q31" s="168"/>
      <c r="R31" s="57">
        <v>0</v>
      </c>
      <c r="S31" s="166"/>
      <c r="T31" s="168"/>
      <c r="U31" s="57">
        <v>0</v>
      </c>
      <c r="V31" s="166"/>
      <c r="W31" s="168"/>
      <c r="X31" s="57">
        <v>0</v>
      </c>
      <c r="Y31" s="166"/>
      <c r="Z31" s="168"/>
      <c r="AA31" s="57">
        <v>0</v>
      </c>
      <c r="AB31" s="166"/>
      <c r="AC31" s="168"/>
      <c r="AD31" s="57">
        <v>0</v>
      </c>
      <c r="AE31" s="166"/>
      <c r="AF31" s="168"/>
      <c r="AG31" s="57">
        <v>0</v>
      </c>
      <c r="AH31" s="166"/>
      <c r="AI31" s="168"/>
      <c r="AJ31" s="57">
        <v>0</v>
      </c>
      <c r="AK31" s="166"/>
      <c r="AL31" s="168"/>
      <c r="AM31" s="57" t="s">
        <v>47</v>
      </c>
      <c r="AN31" s="166"/>
      <c r="AO31" s="168"/>
      <c r="AP31" s="57" t="s">
        <v>47</v>
      </c>
      <c r="AQ31" s="166"/>
      <c r="AR31" s="168"/>
      <c r="AS31" s="57" t="s">
        <v>47</v>
      </c>
      <c r="AT31" s="166"/>
      <c r="AU31" s="168"/>
      <c r="AV31" s="57" t="s">
        <v>47</v>
      </c>
      <c r="AW31" s="166"/>
      <c r="AX31" s="168"/>
      <c r="AY31" s="57" t="s">
        <v>47</v>
      </c>
      <c r="AZ31" s="166"/>
    </row>
    <row r="32" spans="1:52" ht="38.25" hidden="1" x14ac:dyDescent="0.25">
      <c r="A32" s="169" t="s">
        <v>52</v>
      </c>
      <c r="B32" s="56" t="s">
        <v>53</v>
      </c>
      <c r="C32" s="57">
        <v>0</v>
      </c>
      <c r="D32" s="165" t="s">
        <v>47</v>
      </c>
      <c r="E32" s="58"/>
      <c r="F32" s="57">
        <v>0</v>
      </c>
      <c r="G32" s="165" t="s">
        <v>47</v>
      </c>
      <c r="H32" s="58"/>
      <c r="I32" s="57">
        <v>0</v>
      </c>
      <c r="J32" s="165" t="s">
        <v>47</v>
      </c>
      <c r="K32" s="58"/>
      <c r="L32" s="57">
        <v>0</v>
      </c>
      <c r="M32" s="165" t="s">
        <v>47</v>
      </c>
      <c r="N32" s="167"/>
      <c r="O32" s="57">
        <v>0</v>
      </c>
      <c r="P32" s="165" t="s">
        <v>47</v>
      </c>
      <c r="Q32" s="167"/>
      <c r="R32" s="57">
        <v>0</v>
      </c>
      <c r="S32" s="165" t="s">
        <v>47</v>
      </c>
      <c r="T32" s="167"/>
      <c r="U32" s="57">
        <v>0</v>
      </c>
      <c r="V32" s="165" t="s">
        <v>47</v>
      </c>
      <c r="W32" s="167"/>
      <c r="X32" s="57">
        <v>0</v>
      </c>
      <c r="Y32" s="165" t="s">
        <v>47</v>
      </c>
      <c r="Z32" s="167"/>
      <c r="AA32" s="57">
        <v>0</v>
      </c>
      <c r="AB32" s="165" t="s">
        <v>47</v>
      </c>
      <c r="AC32" s="167"/>
      <c r="AD32" s="57">
        <v>0</v>
      </c>
      <c r="AE32" s="165" t="s">
        <v>47</v>
      </c>
      <c r="AF32" s="167"/>
      <c r="AG32" s="57">
        <v>0</v>
      </c>
      <c r="AH32" s="165" t="s">
        <v>47</v>
      </c>
      <c r="AI32" s="167"/>
      <c r="AJ32" s="57">
        <v>0</v>
      </c>
      <c r="AK32" s="165" t="s">
        <v>47</v>
      </c>
      <c r="AL32" s="167"/>
      <c r="AM32" s="57" t="s">
        <v>47</v>
      </c>
      <c r="AN32" s="165" t="s">
        <v>47</v>
      </c>
      <c r="AO32" s="167"/>
      <c r="AP32" s="57" t="s">
        <v>47</v>
      </c>
      <c r="AQ32" s="165" t="s">
        <v>47</v>
      </c>
      <c r="AR32" s="167"/>
      <c r="AS32" s="57" t="s">
        <v>47</v>
      </c>
      <c r="AT32" s="165" t="s">
        <v>47</v>
      </c>
      <c r="AU32" s="167"/>
      <c r="AV32" s="57" t="s">
        <v>47</v>
      </c>
      <c r="AW32" s="165" t="s">
        <v>47</v>
      </c>
      <c r="AX32" s="167"/>
      <c r="AY32" s="57" t="s">
        <v>47</v>
      </c>
      <c r="AZ32" s="165" t="s">
        <v>47</v>
      </c>
    </row>
    <row r="33" spans="1:52" ht="25.5" hidden="1" x14ac:dyDescent="0.25">
      <c r="A33" s="169"/>
      <c r="B33" s="56" t="s">
        <v>54</v>
      </c>
      <c r="C33" s="57">
        <v>0</v>
      </c>
      <c r="D33" s="166"/>
      <c r="E33" s="58"/>
      <c r="F33" s="57">
        <v>0</v>
      </c>
      <c r="G33" s="166"/>
      <c r="H33" s="58"/>
      <c r="I33" s="57">
        <v>0</v>
      </c>
      <c r="J33" s="166"/>
      <c r="K33" s="58"/>
      <c r="L33" s="57">
        <v>0</v>
      </c>
      <c r="M33" s="166"/>
      <c r="N33" s="168"/>
      <c r="O33" s="57">
        <v>0</v>
      </c>
      <c r="P33" s="166"/>
      <c r="Q33" s="168"/>
      <c r="R33" s="57">
        <v>0</v>
      </c>
      <c r="S33" s="166"/>
      <c r="T33" s="168"/>
      <c r="U33" s="57">
        <v>0</v>
      </c>
      <c r="V33" s="166"/>
      <c r="W33" s="168"/>
      <c r="X33" s="57">
        <v>0</v>
      </c>
      <c r="Y33" s="166"/>
      <c r="Z33" s="168"/>
      <c r="AA33" s="57">
        <v>0</v>
      </c>
      <c r="AB33" s="166"/>
      <c r="AC33" s="168"/>
      <c r="AD33" s="57">
        <v>0</v>
      </c>
      <c r="AE33" s="166"/>
      <c r="AF33" s="168"/>
      <c r="AG33" s="57">
        <v>0</v>
      </c>
      <c r="AH33" s="166"/>
      <c r="AI33" s="168"/>
      <c r="AJ33" s="57">
        <v>0</v>
      </c>
      <c r="AK33" s="166"/>
      <c r="AL33" s="168"/>
      <c r="AM33" s="57" t="s">
        <v>47</v>
      </c>
      <c r="AN33" s="166"/>
      <c r="AO33" s="168"/>
      <c r="AP33" s="57" t="s">
        <v>47</v>
      </c>
      <c r="AQ33" s="166"/>
      <c r="AR33" s="168"/>
      <c r="AS33" s="57" t="s">
        <v>47</v>
      </c>
      <c r="AT33" s="166"/>
      <c r="AU33" s="168"/>
      <c r="AV33" s="57" t="s">
        <v>47</v>
      </c>
      <c r="AW33" s="166"/>
      <c r="AX33" s="168"/>
      <c r="AY33" s="57" t="s">
        <v>47</v>
      </c>
      <c r="AZ33" s="166"/>
    </row>
    <row r="34" spans="1:52" ht="38.25" x14ac:dyDescent="0.25">
      <c r="A34" s="146" t="s">
        <v>55</v>
      </c>
      <c r="B34" s="54" t="s">
        <v>56</v>
      </c>
      <c r="C34" s="20">
        <v>193</v>
      </c>
      <c r="D34" s="147">
        <f>+C34/C35</f>
        <v>0.71747211895910779</v>
      </c>
      <c r="E34" s="21"/>
      <c r="F34" s="22">
        <v>61</v>
      </c>
      <c r="G34" s="149">
        <f>+F34/F35</f>
        <v>0.63541666666666663</v>
      </c>
      <c r="H34" s="23"/>
      <c r="I34" s="24">
        <v>35</v>
      </c>
      <c r="J34" s="151">
        <f>+I34/I35</f>
        <v>0.3888888888888889</v>
      </c>
      <c r="K34" s="25"/>
      <c r="L34" s="26">
        <v>5</v>
      </c>
      <c r="M34" s="153">
        <f>+L34/L35</f>
        <v>7.8125E-2</v>
      </c>
      <c r="N34" s="155"/>
      <c r="O34" s="27">
        <v>0</v>
      </c>
      <c r="P34" s="157">
        <f>+O34/O35</f>
        <v>0</v>
      </c>
      <c r="Q34" s="159"/>
      <c r="R34" s="28">
        <v>0</v>
      </c>
      <c r="S34" s="142" t="e">
        <f>+R34/R35</f>
        <v>#DIV/0!</v>
      </c>
      <c r="T34" s="144" t="s">
        <v>174</v>
      </c>
      <c r="U34" s="28">
        <v>16</v>
      </c>
      <c r="V34" s="142">
        <f>+U34/U35</f>
        <v>9.4117647058823528E-2</v>
      </c>
      <c r="W34" s="144"/>
      <c r="X34" s="28">
        <v>3</v>
      </c>
      <c r="Y34" s="142">
        <f>+X34/X35</f>
        <v>0.05</v>
      </c>
      <c r="Z34" s="144"/>
      <c r="AA34" s="28">
        <v>0</v>
      </c>
      <c r="AB34" s="142">
        <f>+AA34/AA35</f>
        <v>0</v>
      </c>
      <c r="AC34" s="144"/>
      <c r="AD34" s="28">
        <v>1</v>
      </c>
      <c r="AE34" s="142">
        <f>+AD34/AD35</f>
        <v>1.7543859649122806E-2</v>
      </c>
      <c r="AF34" s="144"/>
      <c r="AG34" s="28">
        <v>0</v>
      </c>
      <c r="AH34" s="142">
        <f>+AG34/AG35</f>
        <v>0</v>
      </c>
      <c r="AI34" s="144"/>
      <c r="AJ34" s="28">
        <v>0</v>
      </c>
      <c r="AK34" s="142">
        <f>+AJ34/AJ35</f>
        <v>0</v>
      </c>
      <c r="AL34" s="144"/>
      <c r="AM34" s="28">
        <v>90</v>
      </c>
      <c r="AN34" s="142">
        <f>+AM34/AM35</f>
        <v>11.25</v>
      </c>
      <c r="AO34" s="144"/>
      <c r="AP34" s="28">
        <v>0</v>
      </c>
      <c r="AQ34" s="142">
        <f>+AP34/AP35</f>
        <v>0</v>
      </c>
      <c r="AR34" s="163" t="s">
        <v>199</v>
      </c>
      <c r="AS34" s="28">
        <v>16</v>
      </c>
      <c r="AT34" s="142">
        <f>+AS34/AS35</f>
        <v>6.25E-2</v>
      </c>
      <c r="AU34" s="144"/>
      <c r="AV34" s="28">
        <v>36</v>
      </c>
      <c r="AW34" s="142">
        <f>+AV34/AV35</f>
        <v>0.15384615384615385</v>
      </c>
      <c r="AX34" s="144"/>
      <c r="AY34" s="28">
        <v>21</v>
      </c>
      <c r="AZ34" s="142">
        <f>+AY34/AY35</f>
        <v>0.10396039603960396</v>
      </c>
    </row>
    <row r="35" spans="1:52" ht="25.5" x14ac:dyDescent="0.25">
      <c r="A35" s="146"/>
      <c r="B35" s="54" t="s">
        <v>57</v>
      </c>
      <c r="C35" s="20">
        <v>269</v>
      </c>
      <c r="D35" s="148"/>
      <c r="E35" s="21"/>
      <c r="F35" s="22">
        <f>61+35</f>
        <v>96</v>
      </c>
      <c r="G35" s="150"/>
      <c r="H35" s="23"/>
      <c r="I35" s="24">
        <v>90</v>
      </c>
      <c r="J35" s="152"/>
      <c r="K35" s="25"/>
      <c r="L35" s="26">
        <v>64</v>
      </c>
      <c r="M35" s="154"/>
      <c r="N35" s="156"/>
      <c r="O35" s="27">
        <v>42</v>
      </c>
      <c r="P35" s="158"/>
      <c r="Q35" s="160"/>
      <c r="R35" s="28">
        <v>0</v>
      </c>
      <c r="S35" s="143"/>
      <c r="T35" s="145"/>
      <c r="U35" s="28">
        <v>170</v>
      </c>
      <c r="V35" s="143"/>
      <c r="W35" s="145"/>
      <c r="X35" s="28">
        <v>60</v>
      </c>
      <c r="Y35" s="143"/>
      <c r="Z35" s="145"/>
      <c r="AA35" s="28">
        <v>52</v>
      </c>
      <c r="AB35" s="143"/>
      <c r="AC35" s="145"/>
      <c r="AD35" s="28">
        <v>57</v>
      </c>
      <c r="AE35" s="143"/>
      <c r="AF35" s="145"/>
      <c r="AG35" s="28">
        <v>72</v>
      </c>
      <c r="AH35" s="143"/>
      <c r="AI35" s="145"/>
      <c r="AJ35" s="28">
        <v>33</v>
      </c>
      <c r="AK35" s="143"/>
      <c r="AL35" s="145"/>
      <c r="AM35" s="28">
        <v>8</v>
      </c>
      <c r="AN35" s="143"/>
      <c r="AO35" s="145"/>
      <c r="AP35" s="28">
        <v>46</v>
      </c>
      <c r="AQ35" s="143"/>
      <c r="AR35" s="164"/>
      <c r="AS35" s="28">
        <v>256</v>
      </c>
      <c r="AT35" s="143"/>
      <c r="AU35" s="145"/>
      <c r="AV35" s="28">
        <v>234</v>
      </c>
      <c r="AW35" s="143"/>
      <c r="AX35" s="145"/>
      <c r="AY35" s="28">
        <v>202</v>
      </c>
      <c r="AZ35" s="143"/>
    </row>
    <row r="36" spans="1:52" ht="38.25" x14ac:dyDescent="0.25">
      <c r="A36" s="146" t="s">
        <v>58</v>
      </c>
      <c r="B36" s="54" t="s">
        <v>59</v>
      </c>
      <c r="C36" s="20">
        <v>118</v>
      </c>
      <c r="D36" s="147">
        <f>+C36/C37</f>
        <v>0.58128078817733986</v>
      </c>
      <c r="E36" s="21"/>
      <c r="F36" s="22">
        <v>35</v>
      </c>
      <c r="G36" s="149">
        <f>+F36/F37</f>
        <v>0.57377049180327866</v>
      </c>
      <c r="H36" s="23"/>
      <c r="I36" s="24">
        <v>45</v>
      </c>
      <c r="J36" s="151">
        <f>+I36/I37</f>
        <v>0.68181818181818177</v>
      </c>
      <c r="K36" s="25"/>
      <c r="L36" s="26">
        <v>53</v>
      </c>
      <c r="M36" s="153">
        <f>+L36/L37</f>
        <v>1.2325581395348837</v>
      </c>
      <c r="N36" s="155"/>
      <c r="O36" s="27">
        <v>1</v>
      </c>
      <c r="P36" s="157">
        <f>+O36/O37</f>
        <v>4.5454545454545456E-2</v>
      </c>
      <c r="Q36" s="159"/>
      <c r="R36" s="28">
        <v>0</v>
      </c>
      <c r="S36" s="142" t="e">
        <f>+R36/R37</f>
        <v>#DIV/0!</v>
      </c>
      <c r="T36" s="144" t="s">
        <v>174</v>
      </c>
      <c r="U36" s="28">
        <v>8</v>
      </c>
      <c r="V36" s="142">
        <f>+U36/U37</f>
        <v>0.11940298507462686</v>
      </c>
      <c r="W36" s="144"/>
      <c r="X36" s="28">
        <v>12</v>
      </c>
      <c r="Y36" s="142">
        <f>+X36/X37</f>
        <v>0.25</v>
      </c>
      <c r="Z36" s="144"/>
      <c r="AA36" s="28">
        <v>1</v>
      </c>
      <c r="AB36" s="142">
        <f>+AA36/AA37</f>
        <v>2.4390243902439025E-2</v>
      </c>
      <c r="AC36" s="144"/>
      <c r="AD36" s="28">
        <v>3</v>
      </c>
      <c r="AE36" s="142">
        <f>+AD36/AD37</f>
        <v>8.5714285714285715E-2</v>
      </c>
      <c r="AF36" s="144"/>
      <c r="AG36" s="28">
        <v>4</v>
      </c>
      <c r="AH36" s="142">
        <f>+AG36/AG37</f>
        <v>8.1632653061224483E-2</v>
      </c>
      <c r="AI36" s="144"/>
      <c r="AJ36" s="28">
        <v>1</v>
      </c>
      <c r="AK36" s="142">
        <f>+AJ36/AJ37</f>
        <v>2.8571428571428571E-2</v>
      </c>
      <c r="AL36" s="144"/>
      <c r="AM36" s="28">
        <v>54</v>
      </c>
      <c r="AN36" s="142">
        <f>+AM36/AM37</f>
        <v>13.5</v>
      </c>
      <c r="AO36" s="144"/>
      <c r="AP36" s="28">
        <v>0</v>
      </c>
      <c r="AQ36" s="142">
        <f>+AP36/AP37</f>
        <v>0</v>
      </c>
      <c r="AR36" s="163" t="s">
        <v>199</v>
      </c>
      <c r="AS36" s="28">
        <v>6</v>
      </c>
      <c r="AT36" s="142">
        <f>+AS36/AS37</f>
        <v>6.1224489795918366E-2</v>
      </c>
      <c r="AU36" s="144"/>
      <c r="AV36" s="28">
        <v>13</v>
      </c>
      <c r="AW36" s="142">
        <f>+AV36/AV37</f>
        <v>0.14772727272727273</v>
      </c>
      <c r="AX36" s="144"/>
      <c r="AY36" s="28">
        <v>12</v>
      </c>
      <c r="AZ36" s="142">
        <f>+AY36/AY37</f>
        <v>0.13793103448275862</v>
      </c>
    </row>
    <row r="37" spans="1:52" ht="25.5" x14ac:dyDescent="0.25">
      <c r="A37" s="146"/>
      <c r="B37" s="54" t="s">
        <v>60</v>
      </c>
      <c r="C37" s="20">
        <v>203</v>
      </c>
      <c r="D37" s="148"/>
      <c r="E37" s="21"/>
      <c r="F37" s="22">
        <f>35+26</f>
        <v>61</v>
      </c>
      <c r="G37" s="150"/>
      <c r="H37" s="23"/>
      <c r="I37" s="24">
        <v>66</v>
      </c>
      <c r="J37" s="152"/>
      <c r="K37" s="25"/>
      <c r="L37" s="26">
        <v>43</v>
      </c>
      <c r="M37" s="154"/>
      <c r="N37" s="156"/>
      <c r="O37" s="27">
        <v>22</v>
      </c>
      <c r="P37" s="158"/>
      <c r="Q37" s="160"/>
      <c r="R37" s="28">
        <v>0</v>
      </c>
      <c r="S37" s="143"/>
      <c r="T37" s="145"/>
      <c r="U37" s="28">
        <v>67</v>
      </c>
      <c r="V37" s="143"/>
      <c r="W37" s="145"/>
      <c r="X37" s="28">
        <v>48</v>
      </c>
      <c r="Y37" s="143"/>
      <c r="Z37" s="145"/>
      <c r="AA37" s="28">
        <v>41</v>
      </c>
      <c r="AB37" s="143"/>
      <c r="AC37" s="145"/>
      <c r="AD37" s="28">
        <v>35</v>
      </c>
      <c r="AE37" s="143"/>
      <c r="AF37" s="145"/>
      <c r="AG37" s="28">
        <v>49</v>
      </c>
      <c r="AH37" s="143"/>
      <c r="AI37" s="145"/>
      <c r="AJ37" s="28">
        <v>35</v>
      </c>
      <c r="AK37" s="143"/>
      <c r="AL37" s="145"/>
      <c r="AM37" s="28">
        <v>4</v>
      </c>
      <c r="AN37" s="143"/>
      <c r="AO37" s="145"/>
      <c r="AP37" s="28">
        <v>37</v>
      </c>
      <c r="AQ37" s="143"/>
      <c r="AR37" s="164"/>
      <c r="AS37" s="28">
        <v>98</v>
      </c>
      <c r="AT37" s="143"/>
      <c r="AU37" s="145"/>
      <c r="AV37" s="28">
        <v>88</v>
      </c>
      <c r="AW37" s="143"/>
      <c r="AX37" s="145"/>
      <c r="AY37" s="28">
        <v>87</v>
      </c>
      <c r="AZ37" s="143"/>
    </row>
    <row r="38" spans="1:52" ht="51" hidden="1" x14ac:dyDescent="0.25">
      <c r="A38" s="169" t="s">
        <v>61</v>
      </c>
      <c r="B38" s="56" t="s">
        <v>62</v>
      </c>
      <c r="C38" s="57">
        <v>0</v>
      </c>
      <c r="D38" s="165">
        <v>0</v>
      </c>
      <c r="E38" s="58"/>
      <c r="F38" s="57">
        <v>0</v>
      </c>
      <c r="G38" s="165" t="s">
        <v>47</v>
      </c>
      <c r="H38" s="58"/>
      <c r="I38" s="57">
        <v>0</v>
      </c>
      <c r="J38" s="165" t="s">
        <v>47</v>
      </c>
      <c r="K38" s="58"/>
      <c r="L38" s="57">
        <v>0</v>
      </c>
      <c r="M38" s="165" t="s">
        <v>47</v>
      </c>
      <c r="N38" s="167"/>
      <c r="O38" s="57">
        <v>0</v>
      </c>
      <c r="P38" s="165" t="s">
        <v>47</v>
      </c>
      <c r="Q38" s="167"/>
      <c r="R38" s="57">
        <v>0</v>
      </c>
      <c r="S38" s="165" t="s">
        <v>47</v>
      </c>
      <c r="T38" s="167"/>
      <c r="U38" s="57">
        <v>0</v>
      </c>
      <c r="V38" s="165" t="s">
        <v>47</v>
      </c>
      <c r="W38" s="167"/>
      <c r="X38" s="57">
        <v>0</v>
      </c>
      <c r="Y38" s="165" t="s">
        <v>47</v>
      </c>
      <c r="Z38" s="167"/>
      <c r="AA38" s="57">
        <v>0</v>
      </c>
      <c r="AB38" s="165" t="s">
        <v>47</v>
      </c>
      <c r="AC38" s="167"/>
      <c r="AD38" s="57">
        <v>0</v>
      </c>
      <c r="AE38" s="165" t="s">
        <v>47</v>
      </c>
      <c r="AF38" s="167"/>
      <c r="AG38" s="57">
        <v>0</v>
      </c>
      <c r="AH38" s="165" t="s">
        <v>47</v>
      </c>
      <c r="AI38" s="167"/>
      <c r="AJ38" s="57">
        <v>0</v>
      </c>
      <c r="AK38" s="165" t="s">
        <v>47</v>
      </c>
      <c r="AL38" s="167"/>
      <c r="AM38" s="57" t="s">
        <v>47</v>
      </c>
      <c r="AN38" s="165" t="s">
        <v>47</v>
      </c>
      <c r="AO38" s="167"/>
      <c r="AP38" s="57" t="s">
        <v>47</v>
      </c>
      <c r="AQ38" s="165" t="s">
        <v>47</v>
      </c>
      <c r="AR38" s="167"/>
      <c r="AS38" s="57" t="s">
        <v>47</v>
      </c>
      <c r="AT38" s="165" t="s">
        <v>47</v>
      </c>
      <c r="AU38" s="167"/>
      <c r="AV38" s="57" t="s">
        <v>47</v>
      </c>
      <c r="AW38" s="165" t="s">
        <v>47</v>
      </c>
      <c r="AX38" s="167"/>
      <c r="AY38" s="57" t="s">
        <v>47</v>
      </c>
      <c r="AZ38" s="165" t="s">
        <v>47</v>
      </c>
    </row>
    <row r="39" spans="1:52" ht="25.5" hidden="1" x14ac:dyDescent="0.25">
      <c r="A39" s="169"/>
      <c r="B39" s="56" t="s">
        <v>63</v>
      </c>
      <c r="C39" s="57">
        <v>0</v>
      </c>
      <c r="D39" s="166"/>
      <c r="E39" s="58"/>
      <c r="F39" s="57">
        <v>0</v>
      </c>
      <c r="G39" s="166"/>
      <c r="H39" s="58"/>
      <c r="I39" s="57">
        <v>0</v>
      </c>
      <c r="J39" s="166"/>
      <c r="K39" s="58"/>
      <c r="L39" s="57">
        <v>0</v>
      </c>
      <c r="M39" s="166"/>
      <c r="N39" s="168"/>
      <c r="O39" s="57">
        <v>0</v>
      </c>
      <c r="P39" s="166"/>
      <c r="Q39" s="168"/>
      <c r="R39" s="57">
        <v>0</v>
      </c>
      <c r="S39" s="166"/>
      <c r="T39" s="168"/>
      <c r="U39" s="57">
        <v>0</v>
      </c>
      <c r="V39" s="166"/>
      <c r="W39" s="168"/>
      <c r="X39" s="57">
        <v>0</v>
      </c>
      <c r="Y39" s="166"/>
      <c r="Z39" s="168"/>
      <c r="AA39" s="57">
        <v>0</v>
      </c>
      <c r="AB39" s="166"/>
      <c r="AC39" s="168"/>
      <c r="AD39" s="57">
        <v>0</v>
      </c>
      <c r="AE39" s="166"/>
      <c r="AF39" s="168"/>
      <c r="AG39" s="57">
        <v>0</v>
      </c>
      <c r="AH39" s="166"/>
      <c r="AI39" s="168"/>
      <c r="AJ39" s="57">
        <v>0</v>
      </c>
      <c r="AK39" s="166"/>
      <c r="AL39" s="168"/>
      <c r="AM39" s="57" t="s">
        <v>47</v>
      </c>
      <c r="AN39" s="166"/>
      <c r="AO39" s="168"/>
      <c r="AP39" s="57" t="s">
        <v>47</v>
      </c>
      <c r="AQ39" s="166"/>
      <c r="AR39" s="168"/>
      <c r="AS39" s="57" t="s">
        <v>47</v>
      </c>
      <c r="AT39" s="166"/>
      <c r="AU39" s="168"/>
      <c r="AV39" s="57" t="s">
        <v>47</v>
      </c>
      <c r="AW39" s="166"/>
      <c r="AX39" s="168"/>
      <c r="AY39" s="57" t="s">
        <v>47</v>
      </c>
      <c r="AZ39" s="166"/>
    </row>
    <row r="40" spans="1:52" ht="51" hidden="1" x14ac:dyDescent="0.25">
      <c r="A40" s="169" t="s">
        <v>64</v>
      </c>
      <c r="B40" s="56" t="s">
        <v>65</v>
      </c>
      <c r="C40" s="57">
        <v>0</v>
      </c>
      <c r="D40" s="165">
        <v>0</v>
      </c>
      <c r="E40" s="58"/>
      <c r="F40" s="57">
        <v>0</v>
      </c>
      <c r="G40" s="165" t="s">
        <v>47</v>
      </c>
      <c r="H40" s="58"/>
      <c r="I40" s="57">
        <v>0</v>
      </c>
      <c r="J40" s="165" t="s">
        <v>47</v>
      </c>
      <c r="K40" s="58"/>
      <c r="L40" s="57">
        <v>0</v>
      </c>
      <c r="M40" s="165" t="s">
        <v>47</v>
      </c>
      <c r="N40" s="167"/>
      <c r="O40" s="57">
        <v>0</v>
      </c>
      <c r="P40" s="165" t="s">
        <v>47</v>
      </c>
      <c r="Q40" s="167"/>
      <c r="R40" s="57">
        <v>0</v>
      </c>
      <c r="S40" s="165" t="s">
        <v>47</v>
      </c>
      <c r="T40" s="167"/>
      <c r="U40" s="57">
        <v>0</v>
      </c>
      <c r="V40" s="165" t="s">
        <v>47</v>
      </c>
      <c r="W40" s="167"/>
      <c r="X40" s="57">
        <v>0</v>
      </c>
      <c r="Y40" s="165" t="s">
        <v>47</v>
      </c>
      <c r="Z40" s="167"/>
      <c r="AA40" s="57">
        <v>0</v>
      </c>
      <c r="AB40" s="165" t="s">
        <v>47</v>
      </c>
      <c r="AC40" s="167"/>
      <c r="AD40" s="57">
        <v>0</v>
      </c>
      <c r="AE40" s="165" t="s">
        <v>47</v>
      </c>
      <c r="AF40" s="167"/>
      <c r="AG40" s="57">
        <v>0</v>
      </c>
      <c r="AH40" s="165" t="s">
        <v>47</v>
      </c>
      <c r="AI40" s="167"/>
      <c r="AJ40" s="57">
        <v>0</v>
      </c>
      <c r="AK40" s="165" t="s">
        <v>47</v>
      </c>
      <c r="AL40" s="167"/>
      <c r="AM40" s="57" t="s">
        <v>47</v>
      </c>
      <c r="AN40" s="165" t="s">
        <v>47</v>
      </c>
      <c r="AO40" s="167"/>
      <c r="AP40" s="57" t="s">
        <v>47</v>
      </c>
      <c r="AQ40" s="165" t="s">
        <v>47</v>
      </c>
      <c r="AR40" s="167"/>
      <c r="AS40" s="57" t="s">
        <v>47</v>
      </c>
      <c r="AT40" s="165" t="s">
        <v>47</v>
      </c>
      <c r="AU40" s="167"/>
      <c r="AV40" s="57" t="s">
        <v>47</v>
      </c>
      <c r="AW40" s="165" t="s">
        <v>47</v>
      </c>
      <c r="AX40" s="167"/>
      <c r="AY40" s="57" t="s">
        <v>47</v>
      </c>
      <c r="AZ40" s="165" t="s">
        <v>47</v>
      </c>
    </row>
    <row r="41" spans="1:52" ht="51" hidden="1" x14ac:dyDescent="0.25">
      <c r="A41" s="169"/>
      <c r="B41" s="56" t="s">
        <v>66</v>
      </c>
      <c r="C41" s="57">
        <v>0</v>
      </c>
      <c r="D41" s="166"/>
      <c r="E41" s="58"/>
      <c r="F41" s="57">
        <v>0</v>
      </c>
      <c r="G41" s="166"/>
      <c r="H41" s="58"/>
      <c r="I41" s="57">
        <v>0</v>
      </c>
      <c r="J41" s="166"/>
      <c r="K41" s="58"/>
      <c r="L41" s="57">
        <v>0</v>
      </c>
      <c r="M41" s="166"/>
      <c r="N41" s="168"/>
      <c r="O41" s="57">
        <v>0</v>
      </c>
      <c r="P41" s="166"/>
      <c r="Q41" s="168"/>
      <c r="R41" s="57">
        <v>0</v>
      </c>
      <c r="S41" s="166"/>
      <c r="T41" s="168"/>
      <c r="U41" s="57">
        <v>0</v>
      </c>
      <c r="V41" s="166"/>
      <c r="W41" s="168"/>
      <c r="X41" s="57">
        <v>0</v>
      </c>
      <c r="Y41" s="166"/>
      <c r="Z41" s="168"/>
      <c r="AA41" s="57">
        <v>0</v>
      </c>
      <c r="AB41" s="166"/>
      <c r="AC41" s="168"/>
      <c r="AD41" s="57">
        <v>0</v>
      </c>
      <c r="AE41" s="166"/>
      <c r="AF41" s="168"/>
      <c r="AG41" s="57">
        <v>0</v>
      </c>
      <c r="AH41" s="166"/>
      <c r="AI41" s="168"/>
      <c r="AJ41" s="57">
        <v>0</v>
      </c>
      <c r="AK41" s="166"/>
      <c r="AL41" s="168"/>
      <c r="AM41" s="57" t="s">
        <v>47</v>
      </c>
      <c r="AN41" s="166"/>
      <c r="AO41" s="168"/>
      <c r="AP41" s="57" t="s">
        <v>47</v>
      </c>
      <c r="AQ41" s="166"/>
      <c r="AR41" s="168"/>
      <c r="AS41" s="57" t="s">
        <v>47</v>
      </c>
      <c r="AT41" s="166"/>
      <c r="AU41" s="168"/>
      <c r="AV41" s="57" t="s">
        <v>47</v>
      </c>
      <c r="AW41" s="166"/>
      <c r="AX41" s="168"/>
      <c r="AY41" s="57" t="s">
        <v>47</v>
      </c>
      <c r="AZ41" s="166"/>
    </row>
    <row r="42" spans="1:52" ht="51" hidden="1" x14ac:dyDescent="0.25">
      <c r="A42" s="169" t="s">
        <v>67</v>
      </c>
      <c r="B42" s="56" t="s">
        <v>68</v>
      </c>
      <c r="C42" s="57">
        <v>0</v>
      </c>
      <c r="D42" s="165">
        <v>0</v>
      </c>
      <c r="E42" s="58"/>
      <c r="F42" s="57">
        <v>0</v>
      </c>
      <c r="G42" s="165" t="s">
        <v>47</v>
      </c>
      <c r="H42" s="58"/>
      <c r="I42" s="57">
        <v>0</v>
      </c>
      <c r="J42" s="165" t="s">
        <v>47</v>
      </c>
      <c r="K42" s="58"/>
      <c r="L42" s="57">
        <v>0</v>
      </c>
      <c r="M42" s="165" t="s">
        <v>47</v>
      </c>
      <c r="N42" s="167"/>
      <c r="O42" s="57">
        <v>0</v>
      </c>
      <c r="P42" s="165" t="s">
        <v>47</v>
      </c>
      <c r="Q42" s="167"/>
      <c r="R42" s="57">
        <v>0</v>
      </c>
      <c r="S42" s="165" t="s">
        <v>47</v>
      </c>
      <c r="T42" s="167"/>
      <c r="U42" s="57">
        <v>0</v>
      </c>
      <c r="V42" s="165" t="s">
        <v>47</v>
      </c>
      <c r="W42" s="167"/>
      <c r="X42" s="57">
        <v>0</v>
      </c>
      <c r="Y42" s="165" t="s">
        <v>47</v>
      </c>
      <c r="Z42" s="167"/>
      <c r="AA42" s="57">
        <v>0</v>
      </c>
      <c r="AB42" s="165" t="s">
        <v>47</v>
      </c>
      <c r="AC42" s="167"/>
      <c r="AD42" s="57">
        <v>0</v>
      </c>
      <c r="AE42" s="165" t="s">
        <v>47</v>
      </c>
      <c r="AF42" s="167"/>
      <c r="AG42" s="57">
        <v>0</v>
      </c>
      <c r="AH42" s="165" t="s">
        <v>47</v>
      </c>
      <c r="AI42" s="167"/>
      <c r="AJ42" s="57">
        <v>0</v>
      </c>
      <c r="AK42" s="165" t="s">
        <v>47</v>
      </c>
      <c r="AL42" s="167"/>
      <c r="AM42" s="57" t="s">
        <v>47</v>
      </c>
      <c r="AN42" s="165" t="s">
        <v>47</v>
      </c>
      <c r="AO42" s="167"/>
      <c r="AP42" s="57" t="s">
        <v>47</v>
      </c>
      <c r="AQ42" s="165" t="s">
        <v>47</v>
      </c>
      <c r="AR42" s="167"/>
      <c r="AS42" s="57" t="s">
        <v>47</v>
      </c>
      <c r="AT42" s="165" t="s">
        <v>47</v>
      </c>
      <c r="AU42" s="167"/>
      <c r="AV42" s="57" t="s">
        <v>47</v>
      </c>
      <c r="AW42" s="165" t="s">
        <v>47</v>
      </c>
      <c r="AX42" s="167"/>
      <c r="AY42" s="57" t="s">
        <v>47</v>
      </c>
      <c r="AZ42" s="165" t="s">
        <v>47</v>
      </c>
    </row>
    <row r="43" spans="1:52" ht="38.25" hidden="1" x14ac:dyDescent="0.25">
      <c r="A43" s="169"/>
      <c r="B43" s="56" t="s">
        <v>69</v>
      </c>
      <c r="C43" s="57">
        <v>0</v>
      </c>
      <c r="D43" s="166"/>
      <c r="E43" s="58"/>
      <c r="F43" s="57">
        <v>0</v>
      </c>
      <c r="G43" s="166"/>
      <c r="H43" s="58"/>
      <c r="I43" s="57">
        <v>0</v>
      </c>
      <c r="J43" s="166"/>
      <c r="K43" s="58"/>
      <c r="L43" s="57">
        <v>0</v>
      </c>
      <c r="M43" s="166"/>
      <c r="N43" s="168"/>
      <c r="O43" s="57">
        <v>0</v>
      </c>
      <c r="P43" s="166"/>
      <c r="Q43" s="168"/>
      <c r="R43" s="57">
        <v>0</v>
      </c>
      <c r="S43" s="166"/>
      <c r="T43" s="168"/>
      <c r="U43" s="57">
        <v>0</v>
      </c>
      <c r="V43" s="166"/>
      <c r="W43" s="168"/>
      <c r="X43" s="57">
        <v>0</v>
      </c>
      <c r="Y43" s="166"/>
      <c r="Z43" s="168"/>
      <c r="AA43" s="57">
        <v>0</v>
      </c>
      <c r="AB43" s="166"/>
      <c r="AC43" s="168"/>
      <c r="AD43" s="57">
        <v>0</v>
      </c>
      <c r="AE43" s="166"/>
      <c r="AF43" s="168"/>
      <c r="AG43" s="57">
        <v>0</v>
      </c>
      <c r="AH43" s="166"/>
      <c r="AI43" s="168"/>
      <c r="AJ43" s="57">
        <v>0</v>
      </c>
      <c r="AK43" s="166"/>
      <c r="AL43" s="168"/>
      <c r="AM43" s="57" t="s">
        <v>47</v>
      </c>
      <c r="AN43" s="166"/>
      <c r="AO43" s="168"/>
      <c r="AP43" s="57" t="s">
        <v>47</v>
      </c>
      <c r="AQ43" s="166"/>
      <c r="AR43" s="168"/>
      <c r="AS43" s="57" t="s">
        <v>47</v>
      </c>
      <c r="AT43" s="166"/>
      <c r="AU43" s="168"/>
      <c r="AV43" s="57" t="s">
        <v>47</v>
      </c>
      <c r="AW43" s="166"/>
      <c r="AX43" s="168"/>
      <c r="AY43" s="57" t="s">
        <v>47</v>
      </c>
      <c r="AZ43" s="166"/>
    </row>
    <row r="44" spans="1:52" ht="63.75" hidden="1" x14ac:dyDescent="0.25">
      <c r="A44" s="169" t="s">
        <v>70</v>
      </c>
      <c r="B44" s="56" t="s">
        <v>71</v>
      </c>
      <c r="C44" s="57">
        <v>0</v>
      </c>
      <c r="D44" s="165">
        <v>0</v>
      </c>
      <c r="E44" s="58"/>
      <c r="F44" s="57">
        <v>0</v>
      </c>
      <c r="G44" s="165" t="s">
        <v>47</v>
      </c>
      <c r="H44" s="58"/>
      <c r="I44" s="57">
        <v>0</v>
      </c>
      <c r="J44" s="165" t="s">
        <v>47</v>
      </c>
      <c r="K44" s="58"/>
      <c r="L44" s="57">
        <v>0</v>
      </c>
      <c r="M44" s="165" t="s">
        <v>47</v>
      </c>
      <c r="N44" s="167"/>
      <c r="O44" s="57">
        <v>0</v>
      </c>
      <c r="P44" s="165" t="s">
        <v>47</v>
      </c>
      <c r="Q44" s="167"/>
      <c r="R44" s="57">
        <v>0</v>
      </c>
      <c r="S44" s="165" t="s">
        <v>47</v>
      </c>
      <c r="T44" s="167"/>
      <c r="U44" s="57">
        <v>0</v>
      </c>
      <c r="V44" s="165" t="s">
        <v>47</v>
      </c>
      <c r="W44" s="167"/>
      <c r="X44" s="57">
        <v>0</v>
      </c>
      <c r="Y44" s="165" t="s">
        <v>47</v>
      </c>
      <c r="Z44" s="167"/>
      <c r="AA44" s="57">
        <v>0</v>
      </c>
      <c r="AB44" s="165" t="s">
        <v>47</v>
      </c>
      <c r="AC44" s="167"/>
      <c r="AD44" s="57">
        <v>0</v>
      </c>
      <c r="AE44" s="165" t="s">
        <v>47</v>
      </c>
      <c r="AF44" s="167"/>
      <c r="AG44" s="57">
        <v>0</v>
      </c>
      <c r="AH44" s="165" t="s">
        <v>47</v>
      </c>
      <c r="AI44" s="167"/>
      <c r="AJ44" s="57">
        <v>0</v>
      </c>
      <c r="AK44" s="165" t="s">
        <v>47</v>
      </c>
      <c r="AL44" s="167"/>
      <c r="AM44" s="57" t="s">
        <v>47</v>
      </c>
      <c r="AN44" s="165" t="s">
        <v>47</v>
      </c>
      <c r="AO44" s="167"/>
      <c r="AP44" s="57" t="s">
        <v>47</v>
      </c>
      <c r="AQ44" s="165" t="s">
        <v>47</v>
      </c>
      <c r="AR44" s="167"/>
      <c r="AS44" s="57" t="s">
        <v>47</v>
      </c>
      <c r="AT44" s="165" t="s">
        <v>47</v>
      </c>
      <c r="AU44" s="167"/>
      <c r="AV44" s="57" t="s">
        <v>47</v>
      </c>
      <c r="AW44" s="165" t="s">
        <v>47</v>
      </c>
      <c r="AX44" s="167"/>
      <c r="AY44" s="57" t="s">
        <v>47</v>
      </c>
      <c r="AZ44" s="165" t="s">
        <v>47</v>
      </c>
    </row>
    <row r="45" spans="1:52" ht="38.25" hidden="1" x14ac:dyDescent="0.25">
      <c r="A45" s="169"/>
      <c r="B45" s="56" t="s">
        <v>72</v>
      </c>
      <c r="C45" s="57">
        <v>0</v>
      </c>
      <c r="D45" s="166"/>
      <c r="E45" s="58"/>
      <c r="F45" s="57">
        <v>0</v>
      </c>
      <c r="G45" s="166"/>
      <c r="H45" s="58"/>
      <c r="I45" s="57">
        <v>0</v>
      </c>
      <c r="J45" s="166"/>
      <c r="K45" s="58"/>
      <c r="L45" s="57">
        <v>0</v>
      </c>
      <c r="M45" s="166"/>
      <c r="N45" s="168"/>
      <c r="O45" s="57">
        <v>0</v>
      </c>
      <c r="P45" s="166"/>
      <c r="Q45" s="168"/>
      <c r="R45" s="57">
        <v>0</v>
      </c>
      <c r="S45" s="166"/>
      <c r="T45" s="168"/>
      <c r="U45" s="57">
        <v>0</v>
      </c>
      <c r="V45" s="166"/>
      <c r="W45" s="168"/>
      <c r="X45" s="57">
        <v>0</v>
      </c>
      <c r="Y45" s="166"/>
      <c r="Z45" s="168"/>
      <c r="AA45" s="57">
        <v>0</v>
      </c>
      <c r="AB45" s="166"/>
      <c r="AC45" s="168"/>
      <c r="AD45" s="57">
        <v>0</v>
      </c>
      <c r="AE45" s="166"/>
      <c r="AF45" s="168"/>
      <c r="AG45" s="57">
        <v>0</v>
      </c>
      <c r="AH45" s="166"/>
      <c r="AI45" s="168"/>
      <c r="AJ45" s="57">
        <v>0</v>
      </c>
      <c r="AK45" s="166"/>
      <c r="AL45" s="168"/>
      <c r="AM45" s="57" t="s">
        <v>47</v>
      </c>
      <c r="AN45" s="166"/>
      <c r="AO45" s="168"/>
      <c r="AP45" s="57" t="s">
        <v>47</v>
      </c>
      <c r="AQ45" s="166"/>
      <c r="AR45" s="168"/>
      <c r="AS45" s="57" t="s">
        <v>47</v>
      </c>
      <c r="AT45" s="166"/>
      <c r="AU45" s="168"/>
      <c r="AV45" s="57" t="s">
        <v>47</v>
      </c>
      <c r="AW45" s="166"/>
      <c r="AX45" s="168"/>
      <c r="AY45" s="57" t="s">
        <v>47</v>
      </c>
      <c r="AZ45" s="166"/>
    </row>
    <row r="46" spans="1:52" ht="38.25" hidden="1" x14ac:dyDescent="0.25">
      <c r="A46" s="169" t="s">
        <v>73</v>
      </c>
      <c r="B46" s="56" t="s">
        <v>74</v>
      </c>
      <c r="C46" s="57">
        <v>0</v>
      </c>
      <c r="D46" s="165">
        <v>0</v>
      </c>
      <c r="E46" s="58"/>
      <c r="F46" s="57">
        <v>0</v>
      </c>
      <c r="G46" s="165" t="s">
        <v>47</v>
      </c>
      <c r="H46" s="58"/>
      <c r="I46" s="57">
        <v>0</v>
      </c>
      <c r="J46" s="165" t="s">
        <v>47</v>
      </c>
      <c r="K46" s="58"/>
      <c r="L46" s="57">
        <v>0</v>
      </c>
      <c r="M46" s="165" t="s">
        <v>47</v>
      </c>
      <c r="N46" s="167"/>
      <c r="O46" s="57">
        <v>0</v>
      </c>
      <c r="P46" s="165" t="s">
        <v>47</v>
      </c>
      <c r="Q46" s="167"/>
      <c r="R46" s="57">
        <v>0</v>
      </c>
      <c r="S46" s="165" t="s">
        <v>47</v>
      </c>
      <c r="T46" s="167"/>
      <c r="U46" s="57">
        <v>0</v>
      </c>
      <c r="V46" s="165" t="s">
        <v>47</v>
      </c>
      <c r="W46" s="167"/>
      <c r="X46" s="57">
        <v>0</v>
      </c>
      <c r="Y46" s="165" t="s">
        <v>47</v>
      </c>
      <c r="Z46" s="167"/>
      <c r="AA46" s="57">
        <v>0</v>
      </c>
      <c r="AB46" s="165" t="s">
        <v>47</v>
      </c>
      <c r="AC46" s="167"/>
      <c r="AD46" s="57">
        <v>0</v>
      </c>
      <c r="AE46" s="165" t="s">
        <v>47</v>
      </c>
      <c r="AF46" s="167"/>
      <c r="AG46" s="57">
        <v>0</v>
      </c>
      <c r="AH46" s="165" t="s">
        <v>47</v>
      </c>
      <c r="AI46" s="167"/>
      <c r="AJ46" s="57">
        <v>0</v>
      </c>
      <c r="AK46" s="165" t="s">
        <v>47</v>
      </c>
      <c r="AL46" s="167"/>
      <c r="AM46" s="57" t="s">
        <v>47</v>
      </c>
      <c r="AN46" s="165" t="s">
        <v>47</v>
      </c>
      <c r="AO46" s="167"/>
      <c r="AP46" s="57" t="s">
        <v>47</v>
      </c>
      <c r="AQ46" s="165" t="s">
        <v>47</v>
      </c>
      <c r="AR46" s="167"/>
      <c r="AS46" s="57" t="s">
        <v>47</v>
      </c>
      <c r="AT46" s="165" t="s">
        <v>47</v>
      </c>
      <c r="AU46" s="167"/>
      <c r="AV46" s="57" t="s">
        <v>47</v>
      </c>
      <c r="AW46" s="165" t="s">
        <v>47</v>
      </c>
      <c r="AX46" s="167"/>
      <c r="AY46" s="57" t="s">
        <v>47</v>
      </c>
      <c r="AZ46" s="165" t="s">
        <v>47</v>
      </c>
    </row>
    <row r="47" spans="1:52" ht="25.5" hidden="1" x14ac:dyDescent="0.25">
      <c r="A47" s="169"/>
      <c r="B47" s="56" t="s">
        <v>75</v>
      </c>
      <c r="C47" s="57">
        <v>0</v>
      </c>
      <c r="D47" s="166"/>
      <c r="E47" s="58"/>
      <c r="F47" s="57">
        <v>0</v>
      </c>
      <c r="G47" s="166"/>
      <c r="H47" s="58"/>
      <c r="I47" s="57">
        <v>0</v>
      </c>
      <c r="J47" s="166"/>
      <c r="K47" s="58"/>
      <c r="L47" s="57">
        <v>0</v>
      </c>
      <c r="M47" s="166"/>
      <c r="N47" s="168"/>
      <c r="O47" s="57">
        <v>0</v>
      </c>
      <c r="P47" s="166"/>
      <c r="Q47" s="168"/>
      <c r="R47" s="57">
        <v>0</v>
      </c>
      <c r="S47" s="166"/>
      <c r="T47" s="168"/>
      <c r="U47" s="57">
        <v>0</v>
      </c>
      <c r="V47" s="166"/>
      <c r="W47" s="168"/>
      <c r="X47" s="57">
        <v>0</v>
      </c>
      <c r="Y47" s="166"/>
      <c r="Z47" s="168"/>
      <c r="AA47" s="57">
        <v>0</v>
      </c>
      <c r="AB47" s="166"/>
      <c r="AC47" s="168"/>
      <c r="AD47" s="57">
        <v>0</v>
      </c>
      <c r="AE47" s="166"/>
      <c r="AF47" s="168"/>
      <c r="AG47" s="57">
        <v>0</v>
      </c>
      <c r="AH47" s="166"/>
      <c r="AI47" s="168"/>
      <c r="AJ47" s="57">
        <v>0</v>
      </c>
      <c r="AK47" s="166"/>
      <c r="AL47" s="168"/>
      <c r="AM47" s="57" t="s">
        <v>47</v>
      </c>
      <c r="AN47" s="166"/>
      <c r="AO47" s="168"/>
      <c r="AP47" s="57" t="s">
        <v>47</v>
      </c>
      <c r="AQ47" s="166"/>
      <c r="AR47" s="168"/>
      <c r="AS47" s="57" t="s">
        <v>47</v>
      </c>
      <c r="AT47" s="166"/>
      <c r="AU47" s="168"/>
      <c r="AV47" s="57" t="s">
        <v>47</v>
      </c>
      <c r="AW47" s="166"/>
      <c r="AX47" s="168"/>
      <c r="AY47" s="57" t="s">
        <v>47</v>
      </c>
      <c r="AZ47" s="166"/>
    </row>
    <row r="48" spans="1:52" ht="102" x14ac:dyDescent="0.25">
      <c r="A48" s="146" t="s">
        <v>76</v>
      </c>
      <c r="B48" s="54" t="s">
        <v>77</v>
      </c>
      <c r="C48" s="20">
        <v>0</v>
      </c>
      <c r="D48" s="147">
        <v>0</v>
      </c>
      <c r="E48" s="21"/>
      <c r="F48" s="22">
        <v>0</v>
      </c>
      <c r="G48" s="149">
        <v>0</v>
      </c>
      <c r="H48" s="23"/>
      <c r="I48" s="24">
        <v>0</v>
      </c>
      <c r="J48" s="151">
        <v>0</v>
      </c>
      <c r="K48" s="25"/>
      <c r="L48" s="26">
        <v>0</v>
      </c>
      <c r="M48" s="153">
        <v>0</v>
      </c>
      <c r="N48" s="155"/>
      <c r="O48" s="27">
        <v>0</v>
      </c>
      <c r="P48" s="157">
        <v>0</v>
      </c>
      <c r="Q48" s="159"/>
      <c r="R48" s="28">
        <v>0</v>
      </c>
      <c r="S48" s="142">
        <v>0</v>
      </c>
      <c r="T48" s="144"/>
      <c r="U48" s="28">
        <v>0</v>
      </c>
      <c r="V48" s="142">
        <v>0</v>
      </c>
      <c r="W48" s="144"/>
      <c r="X48" s="28">
        <v>0</v>
      </c>
      <c r="Y48" s="142">
        <v>0</v>
      </c>
      <c r="Z48" s="144"/>
      <c r="AA48" s="28">
        <v>0</v>
      </c>
      <c r="AB48" s="142">
        <v>0</v>
      </c>
      <c r="AC48" s="144"/>
      <c r="AD48" s="28">
        <v>0</v>
      </c>
      <c r="AE48" s="142">
        <v>0</v>
      </c>
      <c r="AF48" s="144"/>
      <c r="AG48" s="28">
        <v>0</v>
      </c>
      <c r="AH48" s="142">
        <v>0</v>
      </c>
      <c r="AI48" s="144"/>
      <c r="AJ48" s="28">
        <v>0</v>
      </c>
      <c r="AK48" s="142">
        <v>0</v>
      </c>
      <c r="AL48" s="144"/>
      <c r="AM48" s="28">
        <v>0</v>
      </c>
      <c r="AN48" s="142">
        <v>0</v>
      </c>
      <c r="AO48" s="144"/>
      <c r="AP48" s="28">
        <v>0</v>
      </c>
      <c r="AQ48" s="142">
        <v>0</v>
      </c>
      <c r="AR48" s="144"/>
      <c r="AS48" s="28">
        <v>0</v>
      </c>
      <c r="AT48" s="142">
        <v>0</v>
      </c>
      <c r="AU48" s="144"/>
      <c r="AV48" s="28">
        <v>0</v>
      </c>
      <c r="AW48" s="142">
        <v>0</v>
      </c>
      <c r="AX48" s="144"/>
      <c r="AY48" s="28">
        <v>0</v>
      </c>
      <c r="AZ48" s="142">
        <v>0</v>
      </c>
    </row>
    <row r="49" spans="1:52" ht="25.5" x14ac:dyDescent="0.25">
      <c r="A49" s="146"/>
      <c r="B49" s="54" t="s">
        <v>78</v>
      </c>
      <c r="C49" s="20">
        <v>0</v>
      </c>
      <c r="D49" s="148"/>
      <c r="E49" s="21"/>
      <c r="F49" s="22">
        <v>0</v>
      </c>
      <c r="G49" s="150"/>
      <c r="H49" s="23"/>
      <c r="I49" s="24">
        <v>0</v>
      </c>
      <c r="J49" s="152"/>
      <c r="K49" s="25"/>
      <c r="L49" s="26">
        <v>0</v>
      </c>
      <c r="M49" s="154"/>
      <c r="N49" s="156"/>
      <c r="O49" s="27">
        <v>0</v>
      </c>
      <c r="P49" s="158"/>
      <c r="Q49" s="160"/>
      <c r="R49" s="28">
        <v>0</v>
      </c>
      <c r="S49" s="143"/>
      <c r="T49" s="145"/>
      <c r="U49" s="28">
        <v>0</v>
      </c>
      <c r="V49" s="143"/>
      <c r="W49" s="145"/>
      <c r="X49" s="28">
        <v>0</v>
      </c>
      <c r="Y49" s="143"/>
      <c r="Z49" s="145"/>
      <c r="AA49" s="28">
        <v>0</v>
      </c>
      <c r="AB49" s="143"/>
      <c r="AC49" s="145"/>
      <c r="AD49" s="28">
        <v>0</v>
      </c>
      <c r="AE49" s="143"/>
      <c r="AF49" s="145"/>
      <c r="AG49" s="28">
        <v>0</v>
      </c>
      <c r="AH49" s="143"/>
      <c r="AI49" s="145"/>
      <c r="AJ49" s="28">
        <v>0</v>
      </c>
      <c r="AK49" s="143"/>
      <c r="AL49" s="145"/>
      <c r="AM49" s="28">
        <v>0</v>
      </c>
      <c r="AN49" s="143"/>
      <c r="AO49" s="145"/>
      <c r="AP49" s="28">
        <v>0</v>
      </c>
      <c r="AQ49" s="143"/>
      <c r="AR49" s="145"/>
      <c r="AS49" s="28">
        <v>0</v>
      </c>
      <c r="AT49" s="143"/>
      <c r="AU49" s="145"/>
      <c r="AV49" s="28">
        <v>0</v>
      </c>
      <c r="AW49" s="143"/>
      <c r="AX49" s="145"/>
      <c r="AY49" s="28">
        <v>0</v>
      </c>
      <c r="AZ49" s="143"/>
    </row>
    <row r="50" spans="1:52" ht="76.5" x14ac:dyDescent="0.25">
      <c r="A50" s="146" t="s">
        <v>79</v>
      </c>
      <c r="B50" s="54" t="s">
        <v>80</v>
      </c>
      <c r="C50" s="20">
        <v>0</v>
      </c>
      <c r="D50" s="147">
        <v>0</v>
      </c>
      <c r="E50" s="21"/>
      <c r="F50" s="22">
        <v>0</v>
      </c>
      <c r="G50" s="149">
        <v>0</v>
      </c>
      <c r="H50" s="23"/>
      <c r="I50" s="24">
        <v>0</v>
      </c>
      <c r="J50" s="151">
        <v>0</v>
      </c>
      <c r="K50" s="25"/>
      <c r="L50" s="26">
        <v>0</v>
      </c>
      <c r="M50" s="153">
        <v>0</v>
      </c>
      <c r="N50" s="155"/>
      <c r="O50" s="27">
        <v>0</v>
      </c>
      <c r="P50" s="157">
        <v>0</v>
      </c>
      <c r="Q50" s="159"/>
      <c r="R50" s="28">
        <v>0</v>
      </c>
      <c r="S50" s="142">
        <v>0</v>
      </c>
      <c r="T50" s="144"/>
      <c r="U50" s="28">
        <v>0</v>
      </c>
      <c r="V50" s="142">
        <v>0</v>
      </c>
      <c r="W50" s="144"/>
      <c r="X50" s="28">
        <v>0</v>
      </c>
      <c r="Y50" s="142">
        <v>0</v>
      </c>
      <c r="Z50" s="144"/>
      <c r="AA50" s="28">
        <v>0</v>
      </c>
      <c r="AB50" s="142">
        <v>0</v>
      </c>
      <c r="AC50" s="144"/>
      <c r="AD50" s="28">
        <v>0</v>
      </c>
      <c r="AE50" s="142">
        <v>0</v>
      </c>
      <c r="AF50" s="144"/>
      <c r="AG50" s="28">
        <v>0</v>
      </c>
      <c r="AH50" s="142">
        <v>0</v>
      </c>
      <c r="AI50" s="144"/>
      <c r="AJ50" s="28">
        <v>0</v>
      </c>
      <c r="AK50" s="142">
        <v>0</v>
      </c>
      <c r="AL50" s="144"/>
      <c r="AM50" s="28">
        <v>0</v>
      </c>
      <c r="AN50" s="142">
        <v>0</v>
      </c>
      <c r="AO50" s="144"/>
      <c r="AP50" s="28">
        <v>0</v>
      </c>
      <c r="AQ50" s="142">
        <v>0</v>
      </c>
      <c r="AR50" s="144"/>
      <c r="AS50" s="28">
        <v>0</v>
      </c>
      <c r="AT50" s="142">
        <v>0</v>
      </c>
      <c r="AU50" s="144"/>
      <c r="AV50" s="28">
        <v>0</v>
      </c>
      <c r="AW50" s="142">
        <v>0</v>
      </c>
      <c r="AX50" s="144"/>
      <c r="AY50" s="28">
        <v>0</v>
      </c>
      <c r="AZ50" s="142">
        <v>0</v>
      </c>
    </row>
    <row r="51" spans="1:52" ht="38.25" x14ac:dyDescent="0.25">
      <c r="A51" s="146"/>
      <c r="B51" s="54" t="s">
        <v>81</v>
      </c>
      <c r="C51" s="20">
        <v>0</v>
      </c>
      <c r="D51" s="148"/>
      <c r="E51" s="21"/>
      <c r="F51" s="22">
        <v>0</v>
      </c>
      <c r="G51" s="150"/>
      <c r="H51" s="23"/>
      <c r="I51" s="24">
        <v>0</v>
      </c>
      <c r="J51" s="152"/>
      <c r="K51" s="25"/>
      <c r="L51" s="26">
        <v>0</v>
      </c>
      <c r="M51" s="154"/>
      <c r="N51" s="156"/>
      <c r="O51" s="27">
        <v>0</v>
      </c>
      <c r="P51" s="158"/>
      <c r="Q51" s="160"/>
      <c r="R51" s="28">
        <v>0</v>
      </c>
      <c r="S51" s="143"/>
      <c r="T51" s="145"/>
      <c r="U51" s="28">
        <v>0</v>
      </c>
      <c r="V51" s="143"/>
      <c r="W51" s="145"/>
      <c r="X51" s="28">
        <v>0</v>
      </c>
      <c r="Y51" s="143"/>
      <c r="Z51" s="145"/>
      <c r="AA51" s="28">
        <v>0</v>
      </c>
      <c r="AB51" s="143"/>
      <c r="AC51" s="145"/>
      <c r="AD51" s="28">
        <v>0</v>
      </c>
      <c r="AE51" s="143"/>
      <c r="AF51" s="145"/>
      <c r="AG51" s="28">
        <v>0</v>
      </c>
      <c r="AH51" s="143"/>
      <c r="AI51" s="145"/>
      <c r="AJ51" s="28">
        <v>0</v>
      </c>
      <c r="AK51" s="143"/>
      <c r="AL51" s="145"/>
      <c r="AM51" s="28">
        <v>0</v>
      </c>
      <c r="AN51" s="143"/>
      <c r="AO51" s="145"/>
      <c r="AP51" s="28">
        <v>0</v>
      </c>
      <c r="AQ51" s="143"/>
      <c r="AR51" s="145"/>
      <c r="AS51" s="28">
        <v>0</v>
      </c>
      <c r="AT51" s="143"/>
      <c r="AU51" s="145"/>
      <c r="AV51" s="28">
        <v>0</v>
      </c>
      <c r="AW51" s="143"/>
      <c r="AX51" s="145"/>
      <c r="AY51" s="28">
        <v>0</v>
      </c>
      <c r="AZ51" s="143"/>
    </row>
    <row r="52" spans="1:52" ht="51" x14ac:dyDescent="0.25">
      <c r="A52" s="146" t="s">
        <v>82</v>
      </c>
      <c r="B52" s="54" t="s">
        <v>83</v>
      </c>
      <c r="C52" s="20">
        <v>0</v>
      </c>
      <c r="D52" s="147">
        <v>0</v>
      </c>
      <c r="E52" s="21"/>
      <c r="F52" s="22"/>
      <c r="G52" s="149">
        <v>0</v>
      </c>
      <c r="H52" s="23"/>
      <c r="I52" s="24">
        <v>3</v>
      </c>
      <c r="J52" s="186">
        <f>+I52/I53</f>
        <v>1.8987341772151899E-2</v>
      </c>
      <c r="K52" s="25"/>
      <c r="L52" s="26">
        <v>0</v>
      </c>
      <c r="M52" s="188">
        <v>0</v>
      </c>
      <c r="N52" s="182" t="s">
        <v>171</v>
      </c>
      <c r="O52" s="27">
        <v>0</v>
      </c>
      <c r="P52" s="174">
        <v>0</v>
      </c>
      <c r="Q52" s="184" t="s">
        <v>171</v>
      </c>
      <c r="R52" s="28">
        <v>0</v>
      </c>
      <c r="S52" s="172">
        <v>0</v>
      </c>
      <c r="T52" s="144" t="s">
        <v>174</v>
      </c>
      <c r="U52" s="28">
        <v>2</v>
      </c>
      <c r="V52" s="172">
        <v>0</v>
      </c>
      <c r="W52" s="144"/>
      <c r="X52" s="28"/>
      <c r="Y52" s="172">
        <v>0</v>
      </c>
      <c r="Z52" s="144"/>
      <c r="AA52" s="28">
        <v>1</v>
      </c>
      <c r="AB52" s="142">
        <f>AA52/AA53</f>
        <v>8.3333333333333329E-2</v>
      </c>
      <c r="AC52" s="144"/>
      <c r="AD52" s="28">
        <v>4</v>
      </c>
      <c r="AE52" s="142">
        <f>AD52/AD53</f>
        <v>6.8965517241379309E-2</v>
      </c>
      <c r="AF52" s="144"/>
      <c r="AG52" s="28">
        <v>3</v>
      </c>
      <c r="AH52" s="172">
        <f>AG52/AG53</f>
        <v>1.6666666666666666E-2</v>
      </c>
      <c r="AI52" s="144"/>
      <c r="AJ52" s="28">
        <v>7</v>
      </c>
      <c r="AK52" s="142">
        <f>AJ52/AJ53</f>
        <v>2.0348837209302327E-2</v>
      </c>
      <c r="AL52" s="144"/>
      <c r="AM52" s="28">
        <v>5</v>
      </c>
      <c r="AN52" s="142">
        <f>AM52/AM53</f>
        <v>2.0920502092050208E-2</v>
      </c>
      <c r="AO52" s="163" t="s">
        <v>191</v>
      </c>
      <c r="AP52" s="28">
        <v>6</v>
      </c>
      <c r="AQ52" s="142">
        <f>AP52/AP53</f>
        <v>2.2304832713754646E-2</v>
      </c>
      <c r="AR52" s="163"/>
      <c r="AS52" s="28">
        <v>4</v>
      </c>
      <c r="AT52" s="142">
        <f>AS52/AS53</f>
        <v>2.1621621621621623E-2</v>
      </c>
      <c r="AU52" s="163"/>
      <c r="AV52" s="28">
        <v>2</v>
      </c>
      <c r="AW52" s="142">
        <f>AV52/AV53</f>
        <v>8.9285714285714281E-3</v>
      </c>
      <c r="AX52" s="163"/>
      <c r="AY52" s="28">
        <v>4</v>
      </c>
      <c r="AZ52" s="142">
        <f>AY52/AY53</f>
        <v>0.04</v>
      </c>
    </row>
    <row r="53" spans="1:52" ht="38.25" x14ac:dyDescent="0.25">
      <c r="A53" s="146"/>
      <c r="B53" s="54" t="s">
        <v>84</v>
      </c>
      <c r="C53" s="20">
        <v>0</v>
      </c>
      <c r="D53" s="148"/>
      <c r="E53" s="21"/>
      <c r="F53" s="22"/>
      <c r="G53" s="150"/>
      <c r="H53" s="23"/>
      <c r="I53" s="24">
        <v>158</v>
      </c>
      <c r="J53" s="187"/>
      <c r="K53" s="25"/>
      <c r="L53" s="26">
        <v>0</v>
      </c>
      <c r="M53" s="189"/>
      <c r="N53" s="183"/>
      <c r="O53" s="27">
        <v>0</v>
      </c>
      <c r="P53" s="175"/>
      <c r="Q53" s="185"/>
      <c r="R53" s="28">
        <v>0</v>
      </c>
      <c r="S53" s="173"/>
      <c r="T53" s="145"/>
      <c r="U53" s="28">
        <f>8+1+19+26+4+2+26+1+1</f>
        <v>88</v>
      </c>
      <c r="V53" s="173"/>
      <c r="W53" s="145"/>
      <c r="X53" s="28">
        <v>49</v>
      </c>
      <c r="Y53" s="173"/>
      <c r="Z53" s="145"/>
      <c r="AA53" s="28">
        <v>12</v>
      </c>
      <c r="AB53" s="143"/>
      <c r="AC53" s="145"/>
      <c r="AD53" s="28">
        <f>10+12+5+11+15+5</f>
        <v>58</v>
      </c>
      <c r="AE53" s="143"/>
      <c r="AF53" s="145"/>
      <c r="AG53" s="28">
        <v>180</v>
      </c>
      <c r="AH53" s="173"/>
      <c r="AI53" s="145"/>
      <c r="AJ53" s="28">
        <v>344</v>
      </c>
      <c r="AK53" s="143"/>
      <c r="AL53" s="145"/>
      <c r="AM53" s="28">
        <v>239</v>
      </c>
      <c r="AN53" s="143"/>
      <c r="AO53" s="164"/>
      <c r="AP53" s="28">
        <v>269</v>
      </c>
      <c r="AQ53" s="143"/>
      <c r="AR53" s="164"/>
      <c r="AS53" s="28">
        <v>185</v>
      </c>
      <c r="AT53" s="143"/>
      <c r="AU53" s="164"/>
      <c r="AV53" s="28">
        <v>224</v>
      </c>
      <c r="AW53" s="143"/>
      <c r="AX53" s="164"/>
      <c r="AY53" s="28">
        <v>100</v>
      </c>
      <c r="AZ53" s="143"/>
    </row>
    <row r="54" spans="1:52" ht="51" x14ac:dyDescent="0.25">
      <c r="A54" s="146" t="s">
        <v>85</v>
      </c>
      <c r="B54" s="54" t="s">
        <v>86</v>
      </c>
      <c r="C54" s="20">
        <v>0</v>
      </c>
      <c r="D54" s="147">
        <v>0</v>
      </c>
      <c r="E54" s="21"/>
      <c r="F54" s="22"/>
      <c r="G54" s="149">
        <v>0</v>
      </c>
      <c r="H54" s="23"/>
      <c r="I54" s="24">
        <v>0</v>
      </c>
      <c r="J54" s="151">
        <v>0</v>
      </c>
      <c r="K54" s="25"/>
      <c r="L54" s="26">
        <v>0</v>
      </c>
      <c r="M54" s="153">
        <v>0</v>
      </c>
      <c r="N54" s="182" t="s">
        <v>171</v>
      </c>
      <c r="O54" s="27">
        <v>0</v>
      </c>
      <c r="P54" s="157">
        <v>0</v>
      </c>
      <c r="Q54" s="184" t="s">
        <v>171</v>
      </c>
      <c r="R54" s="28">
        <v>0</v>
      </c>
      <c r="S54" s="142">
        <v>0</v>
      </c>
      <c r="T54" s="144" t="s">
        <v>174</v>
      </c>
      <c r="U54" s="28">
        <v>3</v>
      </c>
      <c r="V54" s="142">
        <v>0</v>
      </c>
      <c r="W54" s="144"/>
      <c r="X54" s="28"/>
      <c r="Y54" s="142">
        <v>0</v>
      </c>
      <c r="Z54" s="144"/>
      <c r="AA54" s="28">
        <v>6</v>
      </c>
      <c r="AB54" s="142">
        <f>AA54/AA55</f>
        <v>0.24</v>
      </c>
      <c r="AC54" s="144"/>
      <c r="AD54" s="28">
        <v>3</v>
      </c>
      <c r="AE54" s="142">
        <f>AD54/AD55</f>
        <v>7.4999999999999997E-2</v>
      </c>
      <c r="AF54" s="144"/>
      <c r="AG54" s="28">
        <v>3</v>
      </c>
      <c r="AH54" s="172">
        <f>AG54/AG55</f>
        <v>2.1739130434782608E-2</v>
      </c>
      <c r="AI54" s="144"/>
      <c r="AJ54" s="28">
        <v>6</v>
      </c>
      <c r="AK54" s="172">
        <f>AJ54/AJ55</f>
        <v>1.6172506738544475E-2</v>
      </c>
      <c r="AL54" s="144"/>
      <c r="AM54" s="28">
        <v>4</v>
      </c>
      <c r="AN54" s="172">
        <f>AM54/AM55</f>
        <v>7.9840319361277438E-3</v>
      </c>
      <c r="AO54" s="163" t="s">
        <v>192</v>
      </c>
      <c r="AP54" s="28">
        <v>4</v>
      </c>
      <c r="AQ54" s="172">
        <f>AP54/AP55</f>
        <v>1.3651877133105802E-2</v>
      </c>
      <c r="AR54" s="163"/>
      <c r="AS54" s="28">
        <v>7</v>
      </c>
      <c r="AT54" s="172">
        <f>AS54/AS55</f>
        <v>2.0527859237536656E-2</v>
      </c>
      <c r="AU54" s="163"/>
      <c r="AV54" s="28">
        <v>7</v>
      </c>
      <c r="AW54" s="172">
        <f>AV54/AV55</f>
        <v>1.5659955257270694E-2</v>
      </c>
      <c r="AX54" s="163"/>
      <c r="AY54" s="28">
        <v>0</v>
      </c>
      <c r="AZ54" s="172" t="e">
        <f>AY54/AY55</f>
        <v>#VALUE!</v>
      </c>
    </row>
    <row r="55" spans="1:52" ht="38.25" x14ac:dyDescent="0.25">
      <c r="A55" s="146"/>
      <c r="B55" s="54" t="s">
        <v>87</v>
      </c>
      <c r="C55" s="20">
        <v>0</v>
      </c>
      <c r="D55" s="148"/>
      <c r="E55" s="21"/>
      <c r="F55" s="22"/>
      <c r="G55" s="150"/>
      <c r="H55" s="23"/>
      <c r="I55" s="24">
        <v>248</v>
      </c>
      <c r="J55" s="152"/>
      <c r="K55" s="25"/>
      <c r="L55" s="26">
        <v>0</v>
      </c>
      <c r="M55" s="154"/>
      <c r="N55" s="183"/>
      <c r="O55" s="27">
        <v>0</v>
      </c>
      <c r="P55" s="158"/>
      <c r="Q55" s="185"/>
      <c r="R55" s="28">
        <v>0</v>
      </c>
      <c r="S55" s="143"/>
      <c r="T55" s="145"/>
      <c r="U55" s="28">
        <v>31</v>
      </c>
      <c r="V55" s="143"/>
      <c r="W55" s="145"/>
      <c r="X55" s="28">
        <v>71</v>
      </c>
      <c r="Y55" s="143"/>
      <c r="Z55" s="145"/>
      <c r="AA55" s="28">
        <v>25</v>
      </c>
      <c r="AB55" s="143"/>
      <c r="AC55" s="145"/>
      <c r="AD55" s="28">
        <f>5+9+4+22</f>
        <v>40</v>
      </c>
      <c r="AE55" s="143"/>
      <c r="AF55" s="145"/>
      <c r="AG55" s="28">
        <v>138</v>
      </c>
      <c r="AH55" s="173"/>
      <c r="AI55" s="145"/>
      <c r="AJ55" s="28">
        <v>371</v>
      </c>
      <c r="AK55" s="173"/>
      <c r="AL55" s="145"/>
      <c r="AM55" s="28">
        <v>501</v>
      </c>
      <c r="AN55" s="173"/>
      <c r="AO55" s="164"/>
      <c r="AP55" s="28">
        <v>293</v>
      </c>
      <c r="AQ55" s="173"/>
      <c r="AR55" s="164"/>
      <c r="AS55" s="28">
        <v>341</v>
      </c>
      <c r="AT55" s="173"/>
      <c r="AU55" s="164"/>
      <c r="AV55" s="28">
        <v>447</v>
      </c>
      <c r="AW55" s="173"/>
      <c r="AX55" s="164"/>
      <c r="AY55" s="59" t="s">
        <v>208</v>
      </c>
      <c r="AZ55" s="173"/>
    </row>
    <row r="56" spans="1:52" ht="51" x14ac:dyDescent="0.25">
      <c r="A56" s="146" t="s">
        <v>88</v>
      </c>
      <c r="B56" s="54" t="s">
        <v>89</v>
      </c>
      <c r="C56" s="20">
        <v>0</v>
      </c>
      <c r="D56" s="147">
        <v>0</v>
      </c>
      <c r="E56" s="21"/>
      <c r="F56" s="22"/>
      <c r="G56" s="149">
        <v>0</v>
      </c>
      <c r="H56" s="23"/>
      <c r="I56" s="24">
        <v>2</v>
      </c>
      <c r="J56" s="151">
        <v>0</v>
      </c>
      <c r="K56" s="25"/>
      <c r="L56" s="26">
        <v>0</v>
      </c>
      <c r="M56" s="153">
        <v>0</v>
      </c>
      <c r="N56" s="182" t="s">
        <v>171</v>
      </c>
      <c r="O56" s="27">
        <v>0</v>
      </c>
      <c r="P56" s="157">
        <v>0</v>
      </c>
      <c r="Q56" s="184" t="s">
        <v>171</v>
      </c>
      <c r="R56" s="28">
        <v>0</v>
      </c>
      <c r="S56" s="142">
        <v>0</v>
      </c>
      <c r="T56" s="144" t="s">
        <v>174</v>
      </c>
      <c r="U56" s="28">
        <v>0</v>
      </c>
      <c r="V56" s="142">
        <v>0</v>
      </c>
      <c r="W56" s="144"/>
      <c r="X56" s="28">
        <v>0</v>
      </c>
      <c r="Y56" s="142">
        <v>0</v>
      </c>
      <c r="Z56" s="144"/>
      <c r="AA56" s="28">
        <v>0</v>
      </c>
      <c r="AB56" s="142">
        <v>0</v>
      </c>
      <c r="AC56" s="144"/>
      <c r="AD56" s="28">
        <v>0</v>
      </c>
      <c r="AE56" s="142">
        <v>0</v>
      </c>
      <c r="AF56" s="144"/>
      <c r="AG56" s="28">
        <v>2</v>
      </c>
      <c r="AH56" s="172">
        <f>AG56/AG57</f>
        <v>1.2987012987012988E-2</v>
      </c>
      <c r="AI56" s="144"/>
      <c r="AJ56" s="28">
        <v>3</v>
      </c>
      <c r="AK56" s="172">
        <f>+AJ56/AJ57</f>
        <v>6.2500000000000003E-3</v>
      </c>
      <c r="AL56" s="144"/>
      <c r="AM56" s="28">
        <v>3</v>
      </c>
      <c r="AN56" s="172">
        <f>+AM56/AM57</f>
        <v>1.8867924528301886E-2</v>
      </c>
      <c r="AO56" s="163" t="s">
        <v>193</v>
      </c>
      <c r="AP56" s="28">
        <v>2</v>
      </c>
      <c r="AQ56" s="172">
        <f>+AP56/AP57</f>
        <v>7.2727272727272727E-3</v>
      </c>
      <c r="AR56" s="163"/>
      <c r="AS56" s="28">
        <v>4</v>
      </c>
      <c r="AT56" s="172">
        <f>+AS56/AS57</f>
        <v>1.4388489208633094E-2</v>
      </c>
      <c r="AU56" s="163"/>
      <c r="AV56" s="28">
        <v>2</v>
      </c>
      <c r="AW56" s="172">
        <f>+AV56/AV57</f>
        <v>8.9285714285714281E-3</v>
      </c>
      <c r="AX56" s="163"/>
      <c r="AY56" s="28">
        <v>1</v>
      </c>
      <c r="AZ56" s="172">
        <f>+AY56/AY57</f>
        <v>8.130081300813009E-3</v>
      </c>
    </row>
    <row r="57" spans="1:52" ht="51" x14ac:dyDescent="0.25">
      <c r="A57" s="146"/>
      <c r="B57" s="54" t="s">
        <v>90</v>
      </c>
      <c r="C57" s="20">
        <v>0</v>
      </c>
      <c r="D57" s="148"/>
      <c r="E57" s="21"/>
      <c r="F57" s="22"/>
      <c r="G57" s="150"/>
      <c r="H57" s="23"/>
      <c r="I57" s="24">
        <v>144</v>
      </c>
      <c r="J57" s="152"/>
      <c r="K57" s="25"/>
      <c r="L57" s="26">
        <v>0</v>
      </c>
      <c r="M57" s="154"/>
      <c r="N57" s="183"/>
      <c r="O57" s="27">
        <v>0</v>
      </c>
      <c r="P57" s="158"/>
      <c r="Q57" s="185"/>
      <c r="R57" s="28">
        <v>0</v>
      </c>
      <c r="S57" s="143"/>
      <c r="T57" s="145"/>
      <c r="U57" s="28">
        <v>59</v>
      </c>
      <c r="V57" s="143"/>
      <c r="W57" s="145"/>
      <c r="X57" s="28">
        <v>11</v>
      </c>
      <c r="Y57" s="143"/>
      <c r="Z57" s="145"/>
      <c r="AA57" s="28">
        <v>13</v>
      </c>
      <c r="AB57" s="143"/>
      <c r="AC57" s="145"/>
      <c r="AD57" s="28">
        <f>8+4+11+13</f>
        <v>36</v>
      </c>
      <c r="AE57" s="143"/>
      <c r="AF57" s="145"/>
      <c r="AG57" s="28">
        <v>154</v>
      </c>
      <c r="AH57" s="173"/>
      <c r="AI57" s="145"/>
      <c r="AJ57" s="28">
        <v>480</v>
      </c>
      <c r="AK57" s="173"/>
      <c r="AL57" s="145"/>
      <c r="AM57" s="28">
        <v>159</v>
      </c>
      <c r="AN57" s="173"/>
      <c r="AO57" s="164"/>
      <c r="AP57" s="28">
        <v>275</v>
      </c>
      <c r="AQ57" s="173"/>
      <c r="AR57" s="164"/>
      <c r="AS57" s="28">
        <v>278</v>
      </c>
      <c r="AT57" s="173"/>
      <c r="AU57" s="164"/>
      <c r="AV57" s="28">
        <v>224</v>
      </c>
      <c r="AW57" s="173"/>
      <c r="AX57" s="164"/>
      <c r="AY57" s="28">
        <v>123</v>
      </c>
      <c r="AZ57" s="173"/>
    </row>
    <row r="58" spans="1:52" ht="25.5" x14ac:dyDescent="0.25">
      <c r="A58" s="146" t="s">
        <v>91</v>
      </c>
      <c r="B58" s="54" t="s">
        <v>92</v>
      </c>
      <c r="C58" s="20">
        <v>0</v>
      </c>
      <c r="D58" s="147">
        <f>+C58/C59</f>
        <v>0</v>
      </c>
      <c r="E58" s="21"/>
      <c r="F58" s="22">
        <v>0</v>
      </c>
      <c r="G58" s="149">
        <f>+F58/F59</f>
        <v>0</v>
      </c>
      <c r="H58" s="23"/>
      <c r="I58" s="24">
        <v>0</v>
      </c>
      <c r="J58" s="151">
        <f>+I58/I59</f>
        <v>0</v>
      </c>
      <c r="K58" s="25"/>
      <c r="L58" s="26">
        <v>0</v>
      </c>
      <c r="M58" s="153">
        <f>+L58/L59</f>
        <v>0</v>
      </c>
      <c r="N58" s="155"/>
      <c r="O58" s="27">
        <v>0</v>
      </c>
      <c r="P58" s="157">
        <f>+O58/O59</f>
        <v>0</v>
      </c>
      <c r="Q58" s="159"/>
      <c r="R58" s="28">
        <v>0</v>
      </c>
      <c r="S58" s="142">
        <f>+R58/R59</f>
        <v>0</v>
      </c>
      <c r="T58" s="144"/>
      <c r="U58" s="28">
        <v>0</v>
      </c>
      <c r="V58" s="142">
        <f>+U58/U59</f>
        <v>0</v>
      </c>
      <c r="W58" s="144"/>
      <c r="X58" s="28">
        <v>0</v>
      </c>
      <c r="Y58" s="142">
        <f>+X58/X59</f>
        <v>0</v>
      </c>
      <c r="Z58" s="163" t="s">
        <v>182</v>
      </c>
      <c r="AA58" s="28">
        <v>0</v>
      </c>
      <c r="AB58" s="142">
        <f>+AA58/AA59</f>
        <v>0</v>
      </c>
      <c r="AC58" s="163"/>
      <c r="AD58" s="28">
        <v>0</v>
      </c>
      <c r="AE58" s="142">
        <f>+AD58/AD59</f>
        <v>0</v>
      </c>
      <c r="AF58" s="163"/>
      <c r="AG58" s="28">
        <v>0</v>
      </c>
      <c r="AH58" s="142">
        <f>+AG58/AG59</f>
        <v>0</v>
      </c>
      <c r="AI58" s="163"/>
      <c r="AJ58" s="28">
        <v>3</v>
      </c>
      <c r="AK58" s="172">
        <f>+AJ58/AJ59</f>
        <v>1.6129032258064516E-2</v>
      </c>
      <c r="AL58" s="163"/>
      <c r="AM58" s="28">
        <v>0</v>
      </c>
      <c r="AN58" s="172">
        <f>+AM58/AM59</f>
        <v>0</v>
      </c>
      <c r="AO58" s="163"/>
      <c r="AP58" s="28">
        <v>0</v>
      </c>
      <c r="AQ58" s="172">
        <f>+AP58/AP59</f>
        <v>0</v>
      </c>
      <c r="AR58" s="163"/>
      <c r="AS58" s="28">
        <v>1</v>
      </c>
      <c r="AT58" s="172">
        <f>+AS58/AS59</f>
        <v>6.2111801242236021E-3</v>
      </c>
      <c r="AU58" s="163"/>
      <c r="AV58" s="28">
        <v>0</v>
      </c>
      <c r="AW58" s="172">
        <f>+AV58/AV59</f>
        <v>0</v>
      </c>
      <c r="AX58" s="163"/>
      <c r="AY58" s="28">
        <v>0</v>
      </c>
      <c r="AZ58" s="172">
        <f>+AY58/AY59</f>
        <v>0</v>
      </c>
    </row>
    <row r="59" spans="1:52" x14ac:dyDescent="0.25">
      <c r="A59" s="146"/>
      <c r="B59" s="54" t="s">
        <v>93</v>
      </c>
      <c r="C59" s="20">
        <v>1136</v>
      </c>
      <c r="D59" s="148"/>
      <c r="E59" s="21"/>
      <c r="F59" s="22">
        <v>257</v>
      </c>
      <c r="G59" s="150"/>
      <c r="H59" s="23"/>
      <c r="I59" s="24">
        <v>204</v>
      </c>
      <c r="J59" s="152"/>
      <c r="K59" s="25"/>
      <c r="L59" s="26">
        <v>188</v>
      </c>
      <c r="M59" s="154"/>
      <c r="N59" s="156"/>
      <c r="O59" s="27">
        <v>199</v>
      </c>
      <c r="P59" s="158"/>
      <c r="Q59" s="160"/>
      <c r="R59" s="28">
        <v>262</v>
      </c>
      <c r="S59" s="143"/>
      <c r="T59" s="145"/>
      <c r="U59" s="28">
        <v>190</v>
      </c>
      <c r="V59" s="143"/>
      <c r="W59" s="145"/>
      <c r="X59" s="28">
        <v>187</v>
      </c>
      <c r="Y59" s="143"/>
      <c r="Z59" s="164"/>
      <c r="AA59" s="28">
        <v>182</v>
      </c>
      <c r="AB59" s="143"/>
      <c r="AC59" s="164"/>
      <c r="AD59" s="28">
        <v>221</v>
      </c>
      <c r="AE59" s="143"/>
      <c r="AF59" s="164"/>
      <c r="AG59" s="28">
        <v>172</v>
      </c>
      <c r="AH59" s="143"/>
      <c r="AI59" s="164"/>
      <c r="AJ59" s="28">
        <v>186</v>
      </c>
      <c r="AK59" s="173"/>
      <c r="AL59" s="164"/>
      <c r="AM59" s="28">
        <v>176</v>
      </c>
      <c r="AN59" s="173"/>
      <c r="AO59" s="164"/>
      <c r="AP59" s="28">
        <v>164</v>
      </c>
      <c r="AQ59" s="173"/>
      <c r="AR59" s="164"/>
      <c r="AS59" s="28">
        <v>161</v>
      </c>
      <c r="AT59" s="173"/>
      <c r="AU59" s="164"/>
      <c r="AV59" s="28">
        <v>149</v>
      </c>
      <c r="AW59" s="173"/>
      <c r="AX59" s="164"/>
      <c r="AY59" s="28">
        <v>142</v>
      </c>
      <c r="AZ59" s="173"/>
    </row>
    <row r="60" spans="1:52" ht="25.5" x14ac:dyDescent="0.25">
      <c r="A60" s="146" t="s">
        <v>94</v>
      </c>
      <c r="B60" s="54" t="s">
        <v>95</v>
      </c>
      <c r="C60" s="20">
        <v>1</v>
      </c>
      <c r="D60" s="147">
        <f>+C60/C61</f>
        <v>8.8028169014084509E-4</v>
      </c>
      <c r="E60" s="21"/>
      <c r="F60" s="22">
        <v>0</v>
      </c>
      <c r="G60" s="149">
        <f>+F60/F61</f>
        <v>0</v>
      </c>
      <c r="H60" s="23"/>
      <c r="I60" s="24">
        <v>0</v>
      </c>
      <c r="J60" s="151">
        <f>+I60/I61</f>
        <v>0</v>
      </c>
      <c r="K60" s="25"/>
      <c r="L60" s="26">
        <v>0</v>
      </c>
      <c r="M60" s="153">
        <f>+L60/L61</f>
        <v>0</v>
      </c>
      <c r="N60" s="155"/>
      <c r="O60" s="27">
        <v>0</v>
      </c>
      <c r="P60" s="157">
        <f>+O60/O61</f>
        <v>0</v>
      </c>
      <c r="Q60" s="159"/>
      <c r="R60" s="28">
        <v>0</v>
      </c>
      <c r="S60" s="142">
        <f>+R60/R61</f>
        <v>0</v>
      </c>
      <c r="T60" s="144"/>
      <c r="U60" s="28">
        <v>1</v>
      </c>
      <c r="V60" s="142">
        <f>+U60/U61</f>
        <v>5.263157894736842E-3</v>
      </c>
      <c r="W60" s="144"/>
      <c r="X60" s="28">
        <v>0</v>
      </c>
      <c r="Y60" s="142">
        <f>+X60/X61</f>
        <v>0</v>
      </c>
      <c r="Z60" s="163" t="s">
        <v>183</v>
      </c>
      <c r="AA60" s="28">
        <v>0</v>
      </c>
      <c r="AB60" s="142">
        <f>+AA60/AA61</f>
        <v>0</v>
      </c>
      <c r="AC60" s="163"/>
      <c r="AD60" s="28">
        <v>0</v>
      </c>
      <c r="AE60" s="142">
        <f>+AD60/AD61</f>
        <v>0</v>
      </c>
      <c r="AF60" s="163"/>
      <c r="AG60" s="28">
        <v>0</v>
      </c>
      <c r="AH60" s="142">
        <f>+AG60/AG61</f>
        <v>0</v>
      </c>
      <c r="AI60" s="163"/>
      <c r="AJ60" s="28">
        <v>0</v>
      </c>
      <c r="AK60" s="142">
        <f>+AJ60/AJ61</f>
        <v>0</v>
      </c>
      <c r="AL60" s="163"/>
      <c r="AM60" s="28">
        <v>0</v>
      </c>
      <c r="AN60" s="142">
        <f>+AM60/AM61</f>
        <v>0</v>
      </c>
      <c r="AO60" s="163"/>
      <c r="AP60" s="28">
        <v>0</v>
      </c>
      <c r="AQ60" s="142">
        <f>+AP60/AP61</f>
        <v>0</v>
      </c>
      <c r="AR60" s="163"/>
      <c r="AS60" s="28">
        <v>0</v>
      </c>
      <c r="AT60" s="142">
        <f>+AS60/AS61</f>
        <v>0</v>
      </c>
      <c r="AU60" s="163"/>
      <c r="AV60" s="28"/>
      <c r="AW60" s="142">
        <f>+AV60/AV61</f>
        <v>0</v>
      </c>
      <c r="AX60" s="163"/>
      <c r="AY60" s="28"/>
      <c r="AZ60" s="142">
        <f>+AY60/AY61</f>
        <v>0</v>
      </c>
    </row>
    <row r="61" spans="1:52" x14ac:dyDescent="0.25">
      <c r="A61" s="146"/>
      <c r="B61" s="54" t="s">
        <v>93</v>
      </c>
      <c r="C61" s="20">
        <v>1136</v>
      </c>
      <c r="D61" s="148"/>
      <c r="E61" s="21"/>
      <c r="F61" s="22">
        <v>257</v>
      </c>
      <c r="G61" s="150"/>
      <c r="H61" s="23"/>
      <c r="I61" s="24">
        <v>204</v>
      </c>
      <c r="J61" s="152"/>
      <c r="K61" s="25"/>
      <c r="L61" s="26">
        <v>188</v>
      </c>
      <c r="M61" s="154"/>
      <c r="N61" s="156"/>
      <c r="O61" s="27">
        <v>199</v>
      </c>
      <c r="P61" s="158"/>
      <c r="Q61" s="160"/>
      <c r="R61" s="28">
        <v>262</v>
      </c>
      <c r="S61" s="143"/>
      <c r="T61" s="145"/>
      <c r="U61" s="28">
        <v>190</v>
      </c>
      <c r="V61" s="143"/>
      <c r="W61" s="145"/>
      <c r="X61" s="28">
        <v>187</v>
      </c>
      <c r="Y61" s="143"/>
      <c r="Z61" s="164"/>
      <c r="AA61" s="28">
        <v>182</v>
      </c>
      <c r="AB61" s="143"/>
      <c r="AC61" s="164"/>
      <c r="AD61" s="28">
        <v>221</v>
      </c>
      <c r="AE61" s="143"/>
      <c r="AF61" s="164"/>
      <c r="AG61" s="28">
        <v>172</v>
      </c>
      <c r="AH61" s="143"/>
      <c r="AI61" s="164"/>
      <c r="AJ61" s="28">
        <v>186</v>
      </c>
      <c r="AK61" s="143"/>
      <c r="AL61" s="164"/>
      <c r="AM61" s="28">
        <v>176</v>
      </c>
      <c r="AN61" s="143"/>
      <c r="AO61" s="164"/>
      <c r="AP61" s="28">
        <v>164</v>
      </c>
      <c r="AQ61" s="143"/>
      <c r="AR61" s="164"/>
      <c r="AS61" s="28">
        <v>161</v>
      </c>
      <c r="AT61" s="143"/>
      <c r="AU61" s="164"/>
      <c r="AV61" s="28">
        <v>149</v>
      </c>
      <c r="AW61" s="143"/>
      <c r="AX61" s="164"/>
      <c r="AY61" s="28">
        <v>142</v>
      </c>
      <c r="AZ61" s="143"/>
    </row>
    <row r="62" spans="1:52" ht="38.25" x14ac:dyDescent="0.25">
      <c r="A62" s="146" t="s">
        <v>96</v>
      </c>
      <c r="B62" s="54" t="s">
        <v>97</v>
      </c>
      <c r="C62" s="29">
        <v>6</v>
      </c>
      <c r="D62" s="147">
        <f>+C62/C63</f>
        <v>1.7191484484685253E-4</v>
      </c>
      <c r="E62" s="21"/>
      <c r="F62" s="30">
        <v>0</v>
      </c>
      <c r="G62" s="149">
        <f>+F62/F63</f>
        <v>0</v>
      </c>
      <c r="H62" s="23"/>
      <c r="I62" s="31">
        <v>1</v>
      </c>
      <c r="J62" s="151">
        <f>+I62/I63</f>
        <v>1.8621973929236498E-4</v>
      </c>
      <c r="K62" s="25"/>
      <c r="L62" s="32">
        <v>2</v>
      </c>
      <c r="M62" s="153">
        <f>+L62/L63</f>
        <v>2.8739761459979884E-4</v>
      </c>
      <c r="N62" s="155"/>
      <c r="O62" s="33">
        <v>0</v>
      </c>
      <c r="P62" s="157">
        <f>+O62/O63</f>
        <v>0</v>
      </c>
      <c r="Q62" s="159"/>
      <c r="R62" s="34">
        <v>0</v>
      </c>
      <c r="S62" s="142">
        <f>+R62/R63</f>
        <v>0</v>
      </c>
      <c r="T62" s="144" t="s">
        <v>174</v>
      </c>
      <c r="U62" s="34">
        <v>0</v>
      </c>
      <c r="V62" s="142">
        <f>+U62/U63</f>
        <v>0</v>
      </c>
      <c r="W62" s="144"/>
      <c r="X62" s="34">
        <v>0</v>
      </c>
      <c r="Y62" s="142">
        <f>+X62/X63</f>
        <v>0</v>
      </c>
      <c r="Z62" s="144"/>
      <c r="AA62" s="34">
        <v>0</v>
      </c>
      <c r="AB62" s="142">
        <f>+AA62/AA63</f>
        <v>0</v>
      </c>
      <c r="AC62" s="144"/>
      <c r="AD62" s="34">
        <v>0</v>
      </c>
      <c r="AE62" s="142">
        <f>+AD62/AD63</f>
        <v>0</v>
      </c>
      <c r="AF62" s="144"/>
      <c r="AG62" s="34">
        <v>0</v>
      </c>
      <c r="AH62" s="142">
        <f>+AG62/AG63</f>
        <v>0</v>
      </c>
      <c r="AI62" s="144"/>
      <c r="AJ62" s="34">
        <v>1</v>
      </c>
      <c r="AK62" s="142">
        <f>+AJ62/AJ63</f>
        <v>1.4511681903932666E-4</v>
      </c>
      <c r="AL62" s="144"/>
      <c r="AM62" s="35">
        <v>2</v>
      </c>
      <c r="AN62" s="180">
        <f>+AM62/AM63</f>
        <v>4.5589240939138365E-4</v>
      </c>
      <c r="AO62" s="144"/>
      <c r="AP62" s="35"/>
      <c r="AQ62" s="180" t="e">
        <f>+AP62/AP63</f>
        <v>#DIV/0!</v>
      </c>
      <c r="AR62" s="144"/>
      <c r="AS62" s="35"/>
      <c r="AT62" s="180" t="e">
        <f>+AS62/AS63</f>
        <v>#DIV/0!</v>
      </c>
      <c r="AU62" s="144"/>
      <c r="AV62" s="35"/>
      <c r="AW62" s="180" t="e">
        <f>+AV62/AV63</f>
        <v>#DIV/0!</v>
      </c>
      <c r="AX62" s="144"/>
      <c r="AY62" s="35"/>
      <c r="AZ62" s="180" t="e">
        <f>+AY62/AY63</f>
        <v>#DIV/0!</v>
      </c>
    </row>
    <row r="63" spans="1:52" ht="51" x14ac:dyDescent="0.25">
      <c r="A63" s="146"/>
      <c r="B63" s="54" t="s">
        <v>98</v>
      </c>
      <c r="C63" s="29">
        <v>34901</v>
      </c>
      <c r="D63" s="148"/>
      <c r="E63" s="21"/>
      <c r="F63" s="30">
        <v>7656</v>
      </c>
      <c r="G63" s="150"/>
      <c r="H63" s="23"/>
      <c r="I63" s="31">
        <v>5370</v>
      </c>
      <c r="J63" s="152"/>
      <c r="K63" s="25"/>
      <c r="L63" s="32">
        <v>6959</v>
      </c>
      <c r="M63" s="154"/>
      <c r="N63" s="156"/>
      <c r="O63" s="33">
        <v>4317</v>
      </c>
      <c r="P63" s="158"/>
      <c r="Q63" s="160"/>
      <c r="R63" s="34">
        <v>6410</v>
      </c>
      <c r="S63" s="143"/>
      <c r="T63" s="145"/>
      <c r="U63" s="34">
        <f>208+280+593+840+749+865+261+69+648+778</f>
        <v>5291</v>
      </c>
      <c r="V63" s="143"/>
      <c r="W63" s="145"/>
      <c r="X63" s="34">
        <v>6129</v>
      </c>
      <c r="Y63" s="143"/>
      <c r="Z63" s="145"/>
      <c r="AA63" s="34">
        <v>6408</v>
      </c>
      <c r="AB63" s="143"/>
      <c r="AC63" s="145"/>
      <c r="AD63" s="34">
        <v>7229</v>
      </c>
      <c r="AE63" s="143"/>
      <c r="AF63" s="145"/>
      <c r="AG63" s="34">
        <v>4023</v>
      </c>
      <c r="AH63" s="143"/>
      <c r="AI63" s="145"/>
      <c r="AJ63" s="34">
        <v>6891</v>
      </c>
      <c r="AK63" s="143"/>
      <c r="AL63" s="145"/>
      <c r="AM63" s="34">
        <v>4387</v>
      </c>
      <c r="AN63" s="181"/>
      <c r="AO63" s="145"/>
      <c r="AP63" s="34"/>
      <c r="AQ63" s="181"/>
      <c r="AR63" s="145"/>
      <c r="AS63" s="34"/>
      <c r="AT63" s="181"/>
      <c r="AU63" s="145"/>
      <c r="AV63" s="34"/>
      <c r="AW63" s="181"/>
      <c r="AX63" s="145"/>
      <c r="AY63" s="34"/>
      <c r="AZ63" s="181"/>
    </row>
    <row r="64" spans="1:52" ht="38.25" x14ac:dyDescent="0.25">
      <c r="A64" s="146" t="s">
        <v>99</v>
      </c>
      <c r="B64" s="54" t="s">
        <v>100</v>
      </c>
      <c r="C64" s="20">
        <v>1</v>
      </c>
      <c r="D64" s="147">
        <f>+C64/C65</f>
        <v>9.4482237339380199E-5</v>
      </c>
      <c r="E64" s="21"/>
      <c r="F64" s="22">
        <v>0</v>
      </c>
      <c r="G64" s="149">
        <f>+F64/F65</f>
        <v>0</v>
      </c>
      <c r="H64" s="23"/>
      <c r="I64" s="24">
        <v>0</v>
      </c>
      <c r="J64" s="151">
        <f>+I64/I65</f>
        <v>0</v>
      </c>
      <c r="K64" s="25"/>
      <c r="L64" s="26">
        <v>1</v>
      </c>
      <c r="M64" s="153">
        <f>+L64/L65</f>
        <v>5.3447354355959376E-4</v>
      </c>
      <c r="N64" s="155"/>
      <c r="O64" s="27">
        <v>0</v>
      </c>
      <c r="P64" s="157">
        <f>+O64/O65</f>
        <v>0</v>
      </c>
      <c r="Q64" s="159"/>
      <c r="R64" s="28">
        <v>0</v>
      </c>
      <c r="S64" s="142">
        <f>+R64/R65</f>
        <v>0</v>
      </c>
      <c r="T64" s="144" t="s">
        <v>174</v>
      </c>
      <c r="U64" s="28">
        <v>0</v>
      </c>
      <c r="V64" s="142">
        <f>+U64/U65</f>
        <v>0</v>
      </c>
      <c r="W64" s="144"/>
      <c r="X64" s="28">
        <v>0</v>
      </c>
      <c r="Y64" s="142">
        <f>+X64/X65</f>
        <v>0</v>
      </c>
      <c r="Z64" s="144"/>
      <c r="AA64" s="28">
        <v>0</v>
      </c>
      <c r="AB64" s="142">
        <f>+AA64/AA65</f>
        <v>0</v>
      </c>
      <c r="AC64" s="144"/>
      <c r="AD64" s="28">
        <v>0</v>
      </c>
      <c r="AE64" s="142">
        <f>+AD64/AD65</f>
        <v>0</v>
      </c>
      <c r="AF64" s="144"/>
      <c r="AG64" s="28">
        <v>0</v>
      </c>
      <c r="AH64" s="142">
        <f>+AG64/AG65</f>
        <v>0</v>
      </c>
      <c r="AI64" s="144"/>
      <c r="AJ64" s="28">
        <v>0</v>
      </c>
      <c r="AK64" s="142">
        <f>+AJ64/AJ65</f>
        <v>0</v>
      </c>
      <c r="AL64" s="144"/>
      <c r="AM64" s="36">
        <v>1</v>
      </c>
      <c r="AN64" s="180">
        <f>+AM64/AM65</f>
        <v>5.4229934924078093E-4</v>
      </c>
      <c r="AO64" s="144"/>
      <c r="AP64" s="36"/>
      <c r="AQ64" s="180" t="e">
        <f>+AP64/AP65</f>
        <v>#DIV/0!</v>
      </c>
      <c r="AR64" s="144"/>
      <c r="AS64" s="36"/>
      <c r="AT64" s="180" t="e">
        <f>+AS64/AS65</f>
        <v>#DIV/0!</v>
      </c>
      <c r="AU64" s="144"/>
      <c r="AV64" s="36"/>
      <c r="AW64" s="180" t="e">
        <f>+AV64/AV65</f>
        <v>#DIV/0!</v>
      </c>
      <c r="AX64" s="144"/>
      <c r="AY64" s="36"/>
      <c r="AZ64" s="180" t="e">
        <f>+AY64/AY65</f>
        <v>#DIV/0!</v>
      </c>
    </row>
    <row r="65" spans="1:53" ht="25.5" x14ac:dyDescent="0.25">
      <c r="A65" s="146"/>
      <c r="B65" s="54" t="s">
        <v>101</v>
      </c>
      <c r="C65" s="20">
        <v>10584</v>
      </c>
      <c r="D65" s="148"/>
      <c r="E65" s="21"/>
      <c r="F65" s="22">
        <v>1922</v>
      </c>
      <c r="G65" s="150"/>
      <c r="H65" s="23"/>
      <c r="I65" s="24">
        <v>1833</v>
      </c>
      <c r="J65" s="152"/>
      <c r="K65" s="25"/>
      <c r="L65" s="26">
        <v>1871</v>
      </c>
      <c r="M65" s="154"/>
      <c r="N65" s="156"/>
      <c r="O65" s="27">
        <v>1836</v>
      </c>
      <c r="P65" s="158"/>
      <c r="Q65" s="160"/>
      <c r="R65" s="28">
        <v>2116</v>
      </c>
      <c r="S65" s="143"/>
      <c r="T65" s="145"/>
      <c r="U65" s="28">
        <v>1798</v>
      </c>
      <c r="V65" s="143"/>
      <c r="W65" s="145"/>
      <c r="X65" s="28">
        <v>1949</v>
      </c>
      <c r="Y65" s="143"/>
      <c r="Z65" s="145"/>
      <c r="AA65" s="28">
        <v>1795</v>
      </c>
      <c r="AB65" s="143"/>
      <c r="AC65" s="145"/>
      <c r="AD65" s="28">
        <v>1940</v>
      </c>
      <c r="AE65" s="143"/>
      <c r="AF65" s="145"/>
      <c r="AG65" s="28">
        <v>1716</v>
      </c>
      <c r="AH65" s="143"/>
      <c r="AI65" s="145"/>
      <c r="AJ65" s="28">
        <v>1833</v>
      </c>
      <c r="AK65" s="143"/>
      <c r="AL65" s="145"/>
      <c r="AM65" s="36">
        <v>1844</v>
      </c>
      <c r="AN65" s="181"/>
      <c r="AO65" s="145"/>
      <c r="AP65" s="36"/>
      <c r="AQ65" s="181"/>
      <c r="AR65" s="145"/>
      <c r="AS65" s="36"/>
      <c r="AT65" s="181"/>
      <c r="AU65" s="145"/>
      <c r="AV65" s="36"/>
      <c r="AW65" s="181"/>
      <c r="AX65" s="145"/>
      <c r="AY65" s="36"/>
      <c r="AZ65" s="181"/>
    </row>
    <row r="66" spans="1:53" ht="51" x14ac:dyDescent="0.25">
      <c r="A66" s="146" t="s">
        <v>102</v>
      </c>
      <c r="B66" s="54" t="s">
        <v>103</v>
      </c>
      <c r="C66" s="20">
        <v>0</v>
      </c>
      <c r="D66" s="147">
        <f>+C66/C67</f>
        <v>0</v>
      </c>
      <c r="E66" s="21"/>
      <c r="F66" s="22">
        <v>0</v>
      </c>
      <c r="G66" s="149">
        <f>+F66/F67</f>
        <v>0</v>
      </c>
      <c r="H66" s="23"/>
      <c r="I66" s="24">
        <v>0</v>
      </c>
      <c r="J66" s="151">
        <f>+I66/I67</f>
        <v>0</v>
      </c>
      <c r="K66" s="25"/>
      <c r="L66" s="26">
        <v>0</v>
      </c>
      <c r="M66" s="153">
        <f>+L66/L67</f>
        <v>0</v>
      </c>
      <c r="N66" s="155"/>
      <c r="O66" s="27">
        <v>0</v>
      </c>
      <c r="P66" s="157">
        <f>+O66/O67</f>
        <v>0</v>
      </c>
      <c r="Q66" s="159"/>
      <c r="R66" s="28">
        <v>0</v>
      </c>
      <c r="S66" s="142">
        <f>+R66/R67</f>
        <v>0</v>
      </c>
      <c r="T66" s="144" t="s">
        <v>174</v>
      </c>
      <c r="U66" s="28">
        <v>0</v>
      </c>
      <c r="V66" s="142">
        <f>+U66/U67</f>
        <v>0</v>
      </c>
      <c r="W66" s="144"/>
      <c r="X66" s="28">
        <v>0</v>
      </c>
      <c r="Y66" s="142">
        <f>+X66/X67</f>
        <v>0</v>
      </c>
      <c r="Z66" s="144"/>
      <c r="AA66" s="28">
        <v>0</v>
      </c>
      <c r="AB66" s="142">
        <f>+AA66/AA67</f>
        <v>0</v>
      </c>
      <c r="AC66" s="144"/>
      <c r="AD66" s="28">
        <v>0</v>
      </c>
      <c r="AE66" s="142">
        <f>+AD66/AD67</f>
        <v>0</v>
      </c>
      <c r="AF66" s="144"/>
      <c r="AG66" s="28">
        <v>0</v>
      </c>
      <c r="AH66" s="142">
        <f>+AG66/AG67</f>
        <v>0</v>
      </c>
      <c r="AI66" s="144"/>
      <c r="AJ66" s="28">
        <v>0</v>
      </c>
      <c r="AK66" s="142">
        <f>+AJ66/AJ67</f>
        <v>0</v>
      </c>
      <c r="AL66" s="144"/>
      <c r="AM66" s="36">
        <v>0</v>
      </c>
      <c r="AN66" s="142">
        <f>+AM66/AM67</f>
        <v>0</v>
      </c>
      <c r="AO66" s="144"/>
      <c r="AP66" s="36"/>
      <c r="AQ66" s="142" t="e">
        <f>+AP66/AP67</f>
        <v>#DIV/0!</v>
      </c>
      <c r="AR66" s="144"/>
      <c r="AS66" s="36"/>
      <c r="AT66" s="142" t="e">
        <f>+AS66/AS67</f>
        <v>#DIV/0!</v>
      </c>
      <c r="AU66" s="144"/>
      <c r="AV66" s="36"/>
      <c r="AW66" s="142" t="e">
        <f>+AV66/AV67</f>
        <v>#DIV/0!</v>
      </c>
      <c r="AX66" s="144"/>
      <c r="AY66" s="36"/>
      <c r="AZ66" s="142" t="e">
        <f>+AY66/AY67</f>
        <v>#DIV/0!</v>
      </c>
    </row>
    <row r="67" spans="1:53" ht="25.5" x14ac:dyDescent="0.25">
      <c r="A67" s="146"/>
      <c r="B67" s="54" t="s">
        <v>104</v>
      </c>
      <c r="C67" s="20">
        <v>31008</v>
      </c>
      <c r="D67" s="148"/>
      <c r="E67" s="54" t="s">
        <v>105</v>
      </c>
      <c r="F67" s="22">
        <v>5508</v>
      </c>
      <c r="G67" s="150"/>
      <c r="H67" s="23"/>
      <c r="I67" s="24">
        <v>1312</v>
      </c>
      <c r="J67" s="152"/>
      <c r="K67" s="25"/>
      <c r="L67" s="26">
        <v>3677</v>
      </c>
      <c r="M67" s="154"/>
      <c r="N67" s="156"/>
      <c r="O67" s="27">
        <v>2975</v>
      </c>
      <c r="P67" s="158"/>
      <c r="Q67" s="160"/>
      <c r="R67" s="28">
        <v>2687</v>
      </c>
      <c r="S67" s="143"/>
      <c r="T67" s="145"/>
      <c r="U67" s="28">
        <v>3308</v>
      </c>
      <c r="V67" s="143"/>
      <c r="W67" s="145"/>
      <c r="X67" s="28">
        <v>4962</v>
      </c>
      <c r="Y67" s="143"/>
      <c r="Z67" s="145"/>
      <c r="AA67" s="28">
        <v>4145</v>
      </c>
      <c r="AB67" s="143"/>
      <c r="AC67" s="145"/>
      <c r="AD67" s="28">
        <v>7945</v>
      </c>
      <c r="AE67" s="143"/>
      <c r="AF67" s="145"/>
      <c r="AG67" s="28">
        <v>4942</v>
      </c>
      <c r="AH67" s="143"/>
      <c r="AI67" s="145"/>
      <c r="AJ67" s="28">
        <v>4770</v>
      </c>
      <c r="AK67" s="143"/>
      <c r="AL67" s="145"/>
      <c r="AM67" s="36">
        <v>3625</v>
      </c>
      <c r="AN67" s="143"/>
      <c r="AO67" s="145"/>
      <c r="AP67" s="36"/>
      <c r="AQ67" s="143"/>
      <c r="AR67" s="145"/>
      <c r="AS67" s="36"/>
      <c r="AT67" s="143"/>
      <c r="AU67" s="145"/>
      <c r="AV67" s="36"/>
      <c r="AW67" s="143"/>
      <c r="AX67" s="145"/>
      <c r="AY67" s="36"/>
      <c r="AZ67" s="143"/>
    </row>
    <row r="68" spans="1:53" ht="63.75" x14ac:dyDescent="0.25">
      <c r="A68" s="146" t="s">
        <v>106</v>
      </c>
      <c r="B68" s="54" t="s">
        <v>107</v>
      </c>
      <c r="C68" s="20">
        <v>0</v>
      </c>
      <c r="D68" s="147">
        <f>+C68/C69</f>
        <v>0</v>
      </c>
      <c r="E68" s="21"/>
      <c r="F68" s="22">
        <v>0</v>
      </c>
      <c r="G68" s="149">
        <f>+F68/F69</f>
        <v>0</v>
      </c>
      <c r="H68" s="23"/>
      <c r="I68" s="24">
        <v>0</v>
      </c>
      <c r="J68" s="151">
        <f>+I68/I69</f>
        <v>0</v>
      </c>
      <c r="K68" s="25"/>
      <c r="L68" s="26">
        <v>0</v>
      </c>
      <c r="M68" s="153">
        <f>+L68/L69</f>
        <v>0</v>
      </c>
      <c r="N68" s="155"/>
      <c r="O68" s="27">
        <v>0</v>
      </c>
      <c r="P68" s="157">
        <f>+O68/O69</f>
        <v>0</v>
      </c>
      <c r="Q68" s="159"/>
      <c r="R68" s="28">
        <v>0</v>
      </c>
      <c r="S68" s="142">
        <f>+R68/R69</f>
        <v>0</v>
      </c>
      <c r="T68" s="144" t="s">
        <v>174</v>
      </c>
      <c r="U68" s="28">
        <v>0</v>
      </c>
      <c r="V68" s="142">
        <f>+U68/U69</f>
        <v>0</v>
      </c>
      <c r="W68" s="144"/>
      <c r="X68" s="28">
        <v>0</v>
      </c>
      <c r="Y68" s="142">
        <f>+X68/X69</f>
        <v>0</v>
      </c>
      <c r="Z68" s="144"/>
      <c r="AA68" s="28">
        <v>0</v>
      </c>
      <c r="AB68" s="142">
        <f>+AA68/AA69</f>
        <v>0</v>
      </c>
      <c r="AC68" s="144"/>
      <c r="AD68" s="28">
        <v>0</v>
      </c>
      <c r="AE68" s="142">
        <f>+AD68/AD69</f>
        <v>0</v>
      </c>
      <c r="AF68" s="144"/>
      <c r="AG68" s="28">
        <v>0</v>
      </c>
      <c r="AH68" s="142">
        <f>+AG68/AG69</f>
        <v>0</v>
      </c>
      <c r="AI68" s="144"/>
      <c r="AJ68" s="28">
        <v>0</v>
      </c>
      <c r="AK68" s="142">
        <f>+AJ68/AJ69</f>
        <v>0</v>
      </c>
      <c r="AL68" s="144"/>
      <c r="AM68" s="36">
        <v>0</v>
      </c>
      <c r="AN68" s="142">
        <f>+AM68/AM69</f>
        <v>0</v>
      </c>
      <c r="AO68" s="144"/>
      <c r="AP68" s="36"/>
      <c r="AQ68" s="142" t="e">
        <f>+AP68/AP69</f>
        <v>#DIV/0!</v>
      </c>
      <c r="AR68" s="144"/>
      <c r="AS68" s="36"/>
      <c r="AT68" s="142" t="e">
        <f>+AS68/AS69</f>
        <v>#DIV/0!</v>
      </c>
      <c r="AU68" s="144"/>
      <c r="AV68" s="36"/>
      <c r="AW68" s="142" t="e">
        <f>+AV68/AV69</f>
        <v>#DIV/0!</v>
      </c>
      <c r="AX68" s="144"/>
      <c r="AY68" s="36"/>
      <c r="AZ68" s="142" t="e">
        <f>+AY68/AY69</f>
        <v>#DIV/0!</v>
      </c>
    </row>
    <row r="69" spans="1:53" ht="51" x14ac:dyDescent="0.25">
      <c r="A69" s="146"/>
      <c r="B69" s="54" t="s">
        <v>108</v>
      </c>
      <c r="C69" s="20">
        <f>2673*6</f>
        <v>16038</v>
      </c>
      <c r="D69" s="148"/>
      <c r="E69" s="21"/>
      <c r="F69" s="22">
        <f>1922+576</f>
        <v>2498</v>
      </c>
      <c r="G69" s="150"/>
      <c r="H69" s="23"/>
      <c r="I69" s="24">
        <v>2101</v>
      </c>
      <c r="J69" s="152"/>
      <c r="K69" s="25"/>
      <c r="L69" s="26">
        <v>3254</v>
      </c>
      <c r="M69" s="154"/>
      <c r="N69" s="156"/>
      <c r="O69" s="27">
        <v>3001</v>
      </c>
      <c r="P69" s="158"/>
      <c r="Q69" s="160"/>
      <c r="R69" s="28">
        <v>2900</v>
      </c>
      <c r="S69" s="143"/>
      <c r="T69" s="145"/>
      <c r="U69" s="28">
        <f>15+998+474+721</f>
        <v>2208</v>
      </c>
      <c r="V69" s="143"/>
      <c r="W69" s="145"/>
      <c r="X69" s="28">
        <v>2354</v>
      </c>
      <c r="Y69" s="143"/>
      <c r="Z69" s="145"/>
      <c r="AA69" s="28">
        <v>2267</v>
      </c>
      <c r="AB69" s="143"/>
      <c r="AC69" s="145"/>
      <c r="AD69" s="28">
        <v>2897</v>
      </c>
      <c r="AE69" s="143"/>
      <c r="AF69" s="145"/>
      <c r="AG69" s="28">
        <v>2842</v>
      </c>
      <c r="AH69" s="143"/>
      <c r="AI69" s="145"/>
      <c r="AJ69" s="28">
        <v>2930</v>
      </c>
      <c r="AK69" s="143"/>
      <c r="AL69" s="145"/>
      <c r="AM69" s="36">
        <v>2684</v>
      </c>
      <c r="AN69" s="143"/>
      <c r="AO69" s="145"/>
      <c r="AP69" s="36"/>
      <c r="AQ69" s="143"/>
      <c r="AR69" s="145"/>
      <c r="AS69" s="36"/>
      <c r="AT69" s="143"/>
      <c r="AU69" s="145"/>
      <c r="AV69" s="36"/>
      <c r="AW69" s="143"/>
      <c r="AX69" s="145"/>
      <c r="AY69" s="36"/>
      <c r="AZ69" s="143"/>
    </row>
    <row r="70" spans="1:53" ht="63.75" x14ac:dyDescent="0.25">
      <c r="A70" s="146" t="s">
        <v>109</v>
      </c>
      <c r="B70" s="54" t="s">
        <v>110</v>
      </c>
      <c r="C70" s="20">
        <v>0</v>
      </c>
      <c r="D70" s="147">
        <f>+C70/C71</f>
        <v>0</v>
      </c>
      <c r="E70" s="21"/>
      <c r="F70" s="22">
        <v>0</v>
      </c>
      <c r="G70" s="149">
        <f>+F70/F71</f>
        <v>0</v>
      </c>
      <c r="H70" s="23"/>
      <c r="I70" s="24">
        <v>0</v>
      </c>
      <c r="J70" s="151">
        <f>+I70/I71</f>
        <v>0</v>
      </c>
      <c r="K70" s="25"/>
      <c r="L70" s="26">
        <v>0</v>
      </c>
      <c r="M70" s="153">
        <f>+L70/L71</f>
        <v>0</v>
      </c>
      <c r="N70" s="155"/>
      <c r="O70" s="27">
        <v>0</v>
      </c>
      <c r="P70" s="157">
        <f>+O70/O71</f>
        <v>0</v>
      </c>
      <c r="Q70" s="159"/>
      <c r="R70" s="28">
        <v>0</v>
      </c>
      <c r="S70" s="142">
        <f>+R70/R71</f>
        <v>0</v>
      </c>
      <c r="T70" s="144" t="s">
        <v>174</v>
      </c>
      <c r="U70" s="28">
        <v>0</v>
      </c>
      <c r="V70" s="142">
        <f>+U70/U71</f>
        <v>0</v>
      </c>
      <c r="W70" s="144"/>
      <c r="X70" s="28">
        <v>0</v>
      </c>
      <c r="Y70" s="142">
        <f>+X70/X71</f>
        <v>0</v>
      </c>
      <c r="Z70" s="144"/>
      <c r="AA70" s="28">
        <v>0</v>
      </c>
      <c r="AB70" s="142">
        <f>+AA70/AA71</f>
        <v>0</v>
      </c>
      <c r="AC70" s="144"/>
      <c r="AD70" s="28">
        <v>0</v>
      </c>
      <c r="AE70" s="142">
        <f>+AD70/AD71</f>
        <v>0</v>
      </c>
      <c r="AF70" s="144"/>
      <c r="AG70" s="28">
        <v>0</v>
      </c>
      <c r="AH70" s="142">
        <f>+AG70/AG71</f>
        <v>0</v>
      </c>
      <c r="AI70" s="144"/>
      <c r="AJ70" s="28">
        <v>0</v>
      </c>
      <c r="AK70" s="142">
        <f>+AJ70/AJ71</f>
        <v>0</v>
      </c>
      <c r="AL70" s="144"/>
      <c r="AM70" s="36">
        <v>0</v>
      </c>
      <c r="AN70" s="142">
        <f>+AM70/AM71</f>
        <v>0</v>
      </c>
      <c r="AO70" s="144"/>
      <c r="AP70" s="36"/>
      <c r="AQ70" s="142" t="e">
        <f>+AP70/AP71</f>
        <v>#DIV/0!</v>
      </c>
      <c r="AR70" s="144"/>
      <c r="AS70" s="36"/>
      <c r="AT70" s="142" t="e">
        <f>+AS70/AS71</f>
        <v>#DIV/0!</v>
      </c>
      <c r="AU70" s="144"/>
      <c r="AV70" s="36"/>
      <c r="AW70" s="142" t="e">
        <f>+AV70/AV71</f>
        <v>#DIV/0!</v>
      </c>
      <c r="AX70" s="144"/>
      <c r="AY70" s="36"/>
      <c r="AZ70" s="142" t="e">
        <f>+AY70/AY71</f>
        <v>#DIV/0!</v>
      </c>
    </row>
    <row r="71" spans="1:53" ht="25.5" x14ac:dyDescent="0.25">
      <c r="A71" s="146"/>
      <c r="B71" s="54" t="s">
        <v>111</v>
      </c>
      <c r="C71" s="20">
        <v>7109</v>
      </c>
      <c r="D71" s="148"/>
      <c r="E71" s="21"/>
      <c r="F71" s="22">
        <v>1303</v>
      </c>
      <c r="G71" s="150"/>
      <c r="H71" s="23"/>
      <c r="I71" s="24">
        <v>1109</v>
      </c>
      <c r="J71" s="152"/>
      <c r="K71" s="25"/>
      <c r="L71" s="26">
        <v>1238</v>
      </c>
      <c r="M71" s="154"/>
      <c r="N71" s="156"/>
      <c r="O71" s="27">
        <v>1155</v>
      </c>
      <c r="P71" s="158"/>
      <c r="Q71" s="160"/>
      <c r="R71" s="28">
        <v>1308</v>
      </c>
      <c r="S71" s="143"/>
      <c r="T71" s="145"/>
      <c r="U71" s="28">
        <v>1077</v>
      </c>
      <c r="V71" s="143"/>
      <c r="W71" s="145"/>
      <c r="X71" s="28">
        <v>1245</v>
      </c>
      <c r="Y71" s="143"/>
      <c r="Z71" s="145"/>
      <c r="AA71" s="28">
        <v>1146</v>
      </c>
      <c r="AB71" s="143"/>
      <c r="AC71" s="145"/>
      <c r="AD71" s="28">
        <v>1201</v>
      </c>
      <c r="AE71" s="143"/>
      <c r="AF71" s="145"/>
      <c r="AG71" s="28">
        <v>1116</v>
      </c>
      <c r="AH71" s="143"/>
      <c r="AI71" s="145"/>
      <c r="AJ71" s="28">
        <v>1190</v>
      </c>
      <c r="AK71" s="143"/>
      <c r="AL71" s="145"/>
      <c r="AM71" s="28">
        <v>1104</v>
      </c>
      <c r="AN71" s="143"/>
      <c r="AO71" s="145"/>
      <c r="AP71" s="28"/>
      <c r="AQ71" s="143"/>
      <c r="AR71" s="145"/>
      <c r="AS71" s="28"/>
      <c r="AT71" s="143"/>
      <c r="AU71" s="145"/>
      <c r="AV71" s="28"/>
      <c r="AW71" s="143"/>
      <c r="AX71" s="145"/>
      <c r="AY71" s="28"/>
      <c r="AZ71" s="143"/>
    </row>
    <row r="72" spans="1:53" ht="51" x14ac:dyDescent="0.25">
      <c r="A72" s="146" t="s">
        <v>112</v>
      </c>
      <c r="B72" s="54" t="s">
        <v>113</v>
      </c>
      <c r="C72" s="20">
        <v>0</v>
      </c>
      <c r="D72" s="147">
        <f>+C72/C73</f>
        <v>0</v>
      </c>
      <c r="E72" s="21"/>
      <c r="F72" s="22">
        <v>0</v>
      </c>
      <c r="G72" s="149">
        <f>+F72/F73</f>
        <v>0</v>
      </c>
      <c r="H72" s="23"/>
      <c r="I72" s="24">
        <v>0</v>
      </c>
      <c r="J72" s="151">
        <f>+I72/I73</f>
        <v>0</v>
      </c>
      <c r="K72" s="25"/>
      <c r="L72" s="26">
        <v>0</v>
      </c>
      <c r="M72" s="153">
        <f>+L72/L73</f>
        <v>0</v>
      </c>
      <c r="N72" s="155"/>
      <c r="O72" s="27">
        <v>0</v>
      </c>
      <c r="P72" s="157">
        <f>+O72/O73</f>
        <v>0</v>
      </c>
      <c r="Q72" s="159"/>
      <c r="R72" s="28">
        <v>0</v>
      </c>
      <c r="S72" s="142">
        <f>+R72/R73</f>
        <v>0</v>
      </c>
      <c r="T72" s="144" t="s">
        <v>174</v>
      </c>
      <c r="U72" s="28">
        <v>0</v>
      </c>
      <c r="V72" s="142">
        <f>+U72/U73</f>
        <v>0</v>
      </c>
      <c r="W72" s="144"/>
      <c r="X72" s="28">
        <v>0</v>
      </c>
      <c r="Y72" s="142">
        <f>+X72/X73</f>
        <v>0</v>
      </c>
      <c r="Z72" s="144"/>
      <c r="AA72" s="28">
        <v>0</v>
      </c>
      <c r="AB72" s="142">
        <f>+AA72/AA73</f>
        <v>0</v>
      </c>
      <c r="AC72" s="144"/>
      <c r="AD72" s="28">
        <v>0</v>
      </c>
      <c r="AE72" s="142">
        <f>+AD72/AD73</f>
        <v>0</v>
      </c>
      <c r="AF72" s="144"/>
      <c r="AG72" s="28">
        <v>0</v>
      </c>
      <c r="AH72" s="142">
        <f>+AG72/AG73</f>
        <v>0</v>
      </c>
      <c r="AI72" s="144"/>
      <c r="AJ72" s="28">
        <v>0</v>
      </c>
      <c r="AK72" s="142">
        <f>+AJ72/AJ73</f>
        <v>0</v>
      </c>
      <c r="AL72" s="144"/>
      <c r="AM72" s="36">
        <v>0</v>
      </c>
      <c r="AN72" s="142">
        <f>+AM72/AM73</f>
        <v>0</v>
      </c>
      <c r="AO72" s="144"/>
      <c r="AP72" s="36"/>
      <c r="AQ72" s="142" t="e">
        <f>+AP72/AP73</f>
        <v>#DIV/0!</v>
      </c>
      <c r="AR72" s="144"/>
      <c r="AS72" s="36"/>
      <c r="AT72" s="142" t="e">
        <f>+AS72/AS73</f>
        <v>#DIV/0!</v>
      </c>
      <c r="AU72" s="144"/>
      <c r="AV72" s="36"/>
      <c r="AW72" s="142" t="e">
        <f>+AV72/AV73</f>
        <v>#DIV/0!</v>
      </c>
      <c r="AX72" s="144"/>
      <c r="AY72" s="36"/>
      <c r="AZ72" s="142" t="e">
        <f>+AY72/AY73</f>
        <v>#DIV/0!</v>
      </c>
    </row>
    <row r="73" spans="1:53" ht="25.5" x14ac:dyDescent="0.25">
      <c r="A73" s="146"/>
      <c r="B73" s="54" t="s">
        <v>114</v>
      </c>
      <c r="C73" s="20">
        <v>7109</v>
      </c>
      <c r="D73" s="148"/>
      <c r="E73" s="21"/>
      <c r="F73" s="22">
        <v>1922</v>
      </c>
      <c r="G73" s="150"/>
      <c r="H73" s="23"/>
      <c r="I73" s="24">
        <v>1833</v>
      </c>
      <c r="J73" s="152"/>
      <c r="K73" s="25"/>
      <c r="L73" s="26">
        <v>1871</v>
      </c>
      <c r="M73" s="154"/>
      <c r="N73" s="156"/>
      <c r="O73" s="27">
        <v>1836</v>
      </c>
      <c r="P73" s="158"/>
      <c r="Q73" s="160"/>
      <c r="R73" s="28">
        <v>2116</v>
      </c>
      <c r="S73" s="143"/>
      <c r="T73" s="145"/>
      <c r="U73" s="28">
        <v>1978</v>
      </c>
      <c r="V73" s="143"/>
      <c r="W73" s="145"/>
      <c r="X73" s="28">
        <v>1949</v>
      </c>
      <c r="Y73" s="143"/>
      <c r="Z73" s="145"/>
      <c r="AA73" s="28">
        <v>1795</v>
      </c>
      <c r="AB73" s="143"/>
      <c r="AC73" s="145"/>
      <c r="AD73" s="28">
        <v>1940</v>
      </c>
      <c r="AE73" s="143"/>
      <c r="AF73" s="145"/>
      <c r="AG73" s="28">
        <v>1716</v>
      </c>
      <c r="AH73" s="143"/>
      <c r="AI73" s="145"/>
      <c r="AJ73" s="28">
        <v>1833</v>
      </c>
      <c r="AK73" s="143"/>
      <c r="AL73" s="145"/>
      <c r="AM73" s="36">
        <v>1844</v>
      </c>
      <c r="AN73" s="143"/>
      <c r="AO73" s="145"/>
      <c r="AP73" s="36"/>
      <c r="AQ73" s="143"/>
      <c r="AR73" s="145"/>
      <c r="AS73" s="36"/>
      <c r="AT73" s="143"/>
      <c r="AU73" s="145"/>
      <c r="AV73" s="36"/>
      <c r="AW73" s="143"/>
      <c r="AX73" s="145"/>
      <c r="AY73" s="36"/>
      <c r="AZ73" s="143"/>
    </row>
    <row r="74" spans="1:53" ht="38.25" x14ac:dyDescent="0.25">
      <c r="A74" s="146" t="s">
        <v>115</v>
      </c>
      <c r="B74" s="54" t="s">
        <v>116</v>
      </c>
      <c r="C74" s="20">
        <v>0</v>
      </c>
      <c r="D74" s="147">
        <v>0</v>
      </c>
      <c r="E74" s="21"/>
      <c r="F74" s="22">
        <v>0</v>
      </c>
      <c r="G74" s="149">
        <v>0</v>
      </c>
      <c r="H74" s="23"/>
      <c r="I74" s="24">
        <v>0</v>
      </c>
      <c r="J74" s="151">
        <v>0</v>
      </c>
      <c r="K74" s="25"/>
      <c r="L74" s="26">
        <v>0</v>
      </c>
      <c r="M74" s="153">
        <v>0</v>
      </c>
      <c r="N74" s="155"/>
      <c r="O74" s="27">
        <v>0</v>
      </c>
      <c r="P74" s="157">
        <v>0</v>
      </c>
      <c r="Q74" s="159"/>
      <c r="R74" s="28">
        <v>0</v>
      </c>
      <c r="S74" s="142">
        <v>0</v>
      </c>
      <c r="T74" s="144" t="s">
        <v>174</v>
      </c>
      <c r="U74" s="28">
        <v>0</v>
      </c>
      <c r="V74" s="142">
        <v>0</v>
      </c>
      <c r="W74" s="144" t="s">
        <v>174</v>
      </c>
      <c r="X74" s="28">
        <v>0</v>
      </c>
      <c r="Y74" s="142">
        <v>0</v>
      </c>
      <c r="Z74" s="144"/>
      <c r="AA74" s="28">
        <v>0</v>
      </c>
      <c r="AB74" s="142">
        <v>0</v>
      </c>
      <c r="AC74" s="144"/>
      <c r="AD74" s="28">
        <v>0</v>
      </c>
      <c r="AE74" s="142">
        <v>0</v>
      </c>
      <c r="AF74" s="144"/>
      <c r="AG74" s="28">
        <v>0</v>
      </c>
      <c r="AH74" s="142">
        <v>0</v>
      </c>
      <c r="AI74" s="144"/>
      <c r="AJ74" s="28">
        <v>0</v>
      </c>
      <c r="AK74" s="142">
        <v>0</v>
      </c>
      <c r="AL74" s="144"/>
      <c r="AM74" s="36">
        <v>0</v>
      </c>
      <c r="AN74" s="142">
        <v>0</v>
      </c>
      <c r="AO74" s="144"/>
      <c r="AP74" s="36"/>
      <c r="AQ74" s="142">
        <v>0</v>
      </c>
      <c r="AR74" s="144"/>
      <c r="AS74" s="36"/>
      <c r="AT74" s="142">
        <v>0</v>
      </c>
      <c r="AU74" s="144"/>
      <c r="AV74" s="36"/>
      <c r="AW74" s="142">
        <v>0</v>
      </c>
      <c r="AX74" s="144"/>
      <c r="AY74" s="36"/>
      <c r="AZ74" s="142">
        <v>0</v>
      </c>
    </row>
    <row r="75" spans="1:53" ht="38.25" x14ac:dyDescent="0.25">
      <c r="A75" s="146"/>
      <c r="B75" s="54" t="s">
        <v>117</v>
      </c>
      <c r="C75" s="20">
        <v>0</v>
      </c>
      <c r="D75" s="148"/>
      <c r="E75" s="21"/>
      <c r="F75" s="22">
        <v>7656</v>
      </c>
      <c r="G75" s="150"/>
      <c r="H75" s="23"/>
      <c r="I75" s="24">
        <v>5370</v>
      </c>
      <c r="J75" s="152"/>
      <c r="K75" s="25"/>
      <c r="L75" s="26">
        <v>6959</v>
      </c>
      <c r="M75" s="154"/>
      <c r="N75" s="156"/>
      <c r="O75" s="27">
        <v>4317</v>
      </c>
      <c r="P75" s="158"/>
      <c r="Q75" s="160"/>
      <c r="R75" s="28">
        <v>6410</v>
      </c>
      <c r="S75" s="143"/>
      <c r="T75" s="145"/>
      <c r="U75" s="28">
        <v>5291</v>
      </c>
      <c r="V75" s="143"/>
      <c r="W75" s="145"/>
      <c r="X75" s="34">
        <v>6129</v>
      </c>
      <c r="Y75" s="143"/>
      <c r="Z75" s="145"/>
      <c r="AA75" s="34">
        <v>6408</v>
      </c>
      <c r="AB75" s="143"/>
      <c r="AC75" s="145"/>
      <c r="AD75" s="34">
        <v>7229</v>
      </c>
      <c r="AE75" s="143"/>
      <c r="AF75" s="145"/>
      <c r="AG75" s="34">
        <v>4023</v>
      </c>
      <c r="AH75" s="143"/>
      <c r="AI75" s="145"/>
      <c r="AJ75" s="34">
        <v>6891</v>
      </c>
      <c r="AK75" s="143"/>
      <c r="AL75" s="145"/>
      <c r="AM75" s="34">
        <v>4387</v>
      </c>
      <c r="AN75" s="143"/>
      <c r="AO75" s="145"/>
      <c r="AP75" s="34"/>
      <c r="AQ75" s="143"/>
      <c r="AR75" s="145"/>
      <c r="AS75" s="34"/>
      <c r="AT75" s="143"/>
      <c r="AU75" s="145"/>
      <c r="AV75" s="34"/>
      <c r="AW75" s="143"/>
      <c r="AX75" s="145"/>
      <c r="AY75" s="34"/>
      <c r="AZ75" s="143"/>
    </row>
    <row r="76" spans="1:53" ht="76.5" x14ac:dyDescent="0.25">
      <c r="A76" s="146" t="s">
        <v>118</v>
      </c>
      <c r="B76" s="54" t="s">
        <v>119</v>
      </c>
      <c r="C76" s="29">
        <v>10</v>
      </c>
      <c r="D76" s="147">
        <f>+C76/C77</f>
        <v>9.4482237339380199E-4</v>
      </c>
      <c r="E76" s="21"/>
      <c r="F76" s="30">
        <v>3</v>
      </c>
      <c r="G76" s="149">
        <f>+F76/F77</f>
        <v>1.5608740894901144E-3</v>
      </c>
      <c r="H76" s="23"/>
      <c r="I76" s="31">
        <v>6</v>
      </c>
      <c r="J76" s="151">
        <f>+I76/I77</f>
        <v>3.2733224222585926E-3</v>
      </c>
      <c r="K76" s="25"/>
      <c r="L76" s="32">
        <v>1</v>
      </c>
      <c r="M76" s="153">
        <f>+L76/L77</f>
        <v>5.3447354355959376E-4</v>
      </c>
      <c r="N76" s="155"/>
      <c r="O76" s="33">
        <v>2</v>
      </c>
      <c r="P76" s="157">
        <f>+O76/O77</f>
        <v>1.0893246187363835E-3</v>
      </c>
      <c r="Q76" s="159"/>
      <c r="R76" s="34">
        <v>0</v>
      </c>
      <c r="S76" s="142">
        <f>+R76/R77</f>
        <v>0</v>
      </c>
      <c r="T76" s="163" t="s">
        <v>173</v>
      </c>
      <c r="U76" s="34">
        <v>0</v>
      </c>
      <c r="V76" s="142">
        <f>+U76/U77</f>
        <v>0</v>
      </c>
      <c r="W76" s="163" t="s">
        <v>178</v>
      </c>
      <c r="X76" s="34">
        <v>0</v>
      </c>
      <c r="Y76" s="142">
        <f>+X76/X77</f>
        <v>0</v>
      </c>
      <c r="Z76" s="163" t="s">
        <v>178</v>
      </c>
      <c r="AA76" s="34">
        <v>0</v>
      </c>
      <c r="AB76" s="142">
        <f>+AA76/AA77</f>
        <v>0</v>
      </c>
      <c r="AC76" s="163"/>
      <c r="AD76" s="34">
        <v>0</v>
      </c>
      <c r="AE76" s="142">
        <f>+AD76/AD77</f>
        <v>0</v>
      </c>
      <c r="AF76" s="163"/>
      <c r="AG76" s="34">
        <v>0</v>
      </c>
      <c r="AH76" s="142">
        <f>+AG76/AG77</f>
        <v>0</v>
      </c>
      <c r="AI76" s="163"/>
      <c r="AJ76" s="34">
        <v>0</v>
      </c>
      <c r="AK76" s="142">
        <f>+AJ76/AJ77</f>
        <v>0</v>
      </c>
      <c r="AL76" s="163"/>
      <c r="AM76" s="34">
        <v>0</v>
      </c>
      <c r="AN76" s="142">
        <f>+AM76/AM77</f>
        <v>0</v>
      </c>
      <c r="AO76" s="163" t="s">
        <v>189</v>
      </c>
      <c r="AP76" s="34">
        <v>0</v>
      </c>
      <c r="AQ76" s="142">
        <f>+AP76/AP77</f>
        <v>0</v>
      </c>
      <c r="AR76" s="163" t="s">
        <v>189</v>
      </c>
      <c r="AS76" s="34">
        <v>1</v>
      </c>
      <c r="AT76" s="172">
        <f>+AS76/AS77</f>
        <v>5.9382422802850359E-4</v>
      </c>
      <c r="AU76" s="163"/>
      <c r="AV76" s="34">
        <v>1</v>
      </c>
      <c r="AW76" s="142">
        <f>+AV76/AV77</f>
        <v>6.6357000663570006E-4</v>
      </c>
      <c r="AX76" s="163"/>
      <c r="AY76" s="34">
        <v>0</v>
      </c>
      <c r="AZ76" s="142">
        <f>+AY76/AY77</f>
        <v>0</v>
      </c>
    </row>
    <row r="77" spans="1:53" ht="38.25" x14ac:dyDescent="0.25">
      <c r="A77" s="146"/>
      <c r="B77" s="54" t="s">
        <v>120</v>
      </c>
      <c r="C77" s="29">
        <v>10584</v>
      </c>
      <c r="D77" s="148"/>
      <c r="E77" s="21"/>
      <c r="F77" s="30">
        <v>1922</v>
      </c>
      <c r="G77" s="150"/>
      <c r="H77" s="23"/>
      <c r="I77" s="31">
        <v>1833</v>
      </c>
      <c r="J77" s="152"/>
      <c r="K77" s="25"/>
      <c r="L77" s="32">
        <v>1871</v>
      </c>
      <c r="M77" s="154"/>
      <c r="N77" s="156"/>
      <c r="O77" s="33">
        <v>1836</v>
      </c>
      <c r="P77" s="158"/>
      <c r="Q77" s="160"/>
      <c r="R77" s="29">
        <v>2115</v>
      </c>
      <c r="S77" s="143"/>
      <c r="T77" s="164"/>
      <c r="U77" s="34">
        <v>1798</v>
      </c>
      <c r="V77" s="143"/>
      <c r="W77" s="164"/>
      <c r="X77" s="28">
        <v>1949</v>
      </c>
      <c r="Y77" s="143"/>
      <c r="Z77" s="164"/>
      <c r="AA77" s="28">
        <v>1795</v>
      </c>
      <c r="AB77" s="143"/>
      <c r="AC77" s="164"/>
      <c r="AD77" s="28">
        <v>1940</v>
      </c>
      <c r="AE77" s="143"/>
      <c r="AF77" s="164"/>
      <c r="AG77" s="28">
        <v>1716</v>
      </c>
      <c r="AH77" s="143"/>
      <c r="AI77" s="164"/>
      <c r="AJ77" s="28">
        <v>1833</v>
      </c>
      <c r="AK77" s="143"/>
      <c r="AL77" s="164"/>
      <c r="AM77" s="28">
        <v>1844</v>
      </c>
      <c r="AN77" s="143"/>
      <c r="AO77" s="164"/>
      <c r="AP77" s="28">
        <v>1837</v>
      </c>
      <c r="AQ77" s="143"/>
      <c r="AR77" s="164"/>
      <c r="AS77" s="28">
        <v>1684</v>
      </c>
      <c r="AT77" s="173"/>
      <c r="AU77" s="164"/>
      <c r="AV77" s="28">
        <v>1507</v>
      </c>
      <c r="AW77" s="143"/>
      <c r="AX77" s="164"/>
      <c r="AY77" s="28">
        <v>1484</v>
      </c>
      <c r="AZ77" s="143"/>
    </row>
    <row r="78" spans="1:53" ht="76.5" x14ac:dyDescent="0.25">
      <c r="A78" s="146" t="s">
        <v>121</v>
      </c>
      <c r="B78" s="54" t="s">
        <v>122</v>
      </c>
      <c r="C78" s="29">
        <v>23</v>
      </c>
      <c r="D78" s="147">
        <f>+C78/C79</f>
        <v>3.3318846878168914E-3</v>
      </c>
      <c r="E78" s="21"/>
      <c r="F78" s="30">
        <v>9</v>
      </c>
      <c r="G78" s="149">
        <f>+F78/F79</f>
        <v>7.1258907363420431E-3</v>
      </c>
      <c r="H78" s="178"/>
      <c r="I78" s="31">
        <v>5</v>
      </c>
      <c r="J78" s="151">
        <f>+I78/I79</f>
        <v>4.6904315196998128E-3</v>
      </c>
      <c r="K78" s="176"/>
      <c r="L78" s="32">
        <v>11</v>
      </c>
      <c r="M78" s="153">
        <f>+L78/L79</f>
        <v>9.1135045567522777E-3</v>
      </c>
      <c r="N78" s="155"/>
      <c r="O78" s="33">
        <v>1</v>
      </c>
      <c r="P78" s="157">
        <f>+O78/O79</f>
        <v>8.658008658008658E-4</v>
      </c>
      <c r="Q78" s="159"/>
      <c r="R78" s="34">
        <v>0</v>
      </c>
      <c r="S78" s="142">
        <f>+R78/R79</f>
        <v>0</v>
      </c>
      <c r="T78" s="163" t="s">
        <v>173</v>
      </c>
      <c r="U78" s="34">
        <v>11</v>
      </c>
      <c r="V78" s="142">
        <f>+U78/U79</f>
        <v>1.055662188099808E-2</v>
      </c>
      <c r="W78" s="163"/>
      <c r="X78" s="34">
        <v>7</v>
      </c>
      <c r="Y78" s="142">
        <f>+X78/X79</f>
        <v>5.8284762697751874E-3</v>
      </c>
      <c r="Z78" s="163"/>
      <c r="AA78" s="34">
        <v>0</v>
      </c>
      <c r="AB78" s="142">
        <f>+AA78/AA79</f>
        <v>0</v>
      </c>
      <c r="AC78" s="163"/>
      <c r="AD78" s="34">
        <v>0</v>
      </c>
      <c r="AE78" s="142">
        <f>+AD78/AD79</f>
        <v>0</v>
      </c>
      <c r="AF78" s="163"/>
      <c r="AG78" s="34">
        <v>0</v>
      </c>
      <c r="AH78" s="142">
        <f>+AG78/AG79</f>
        <v>0</v>
      </c>
      <c r="AI78" s="163" t="s">
        <v>189</v>
      </c>
      <c r="AJ78" s="34">
        <v>0</v>
      </c>
      <c r="AK78" s="142">
        <f>+AJ78/AJ79</f>
        <v>0</v>
      </c>
      <c r="AL78" s="163" t="s">
        <v>189</v>
      </c>
      <c r="AM78" s="34">
        <v>3</v>
      </c>
      <c r="AN78" s="142">
        <f>+AM78/AM79</f>
        <v>2.8222013170272815E-3</v>
      </c>
      <c r="AO78" s="163"/>
      <c r="AP78" s="34">
        <v>0</v>
      </c>
      <c r="AQ78" s="142">
        <f>+AP78/AP79</f>
        <v>0</v>
      </c>
      <c r="AR78" s="163" t="s">
        <v>189</v>
      </c>
      <c r="AS78" s="34">
        <v>7</v>
      </c>
      <c r="AT78" s="142">
        <f>+AS78/AS79</f>
        <v>6.9033530571992107E-3</v>
      </c>
      <c r="AU78" s="163"/>
      <c r="AV78" s="34">
        <v>6</v>
      </c>
      <c r="AW78" s="142">
        <f>+AV78/AV79</f>
        <v>6.3224446786090622E-3</v>
      </c>
      <c r="AX78" s="163"/>
      <c r="AY78" s="34">
        <v>15</v>
      </c>
      <c r="AZ78" s="142">
        <f>+AY78/AY79</f>
        <v>1.6393442622950821E-2</v>
      </c>
    </row>
    <row r="79" spans="1:53" ht="25.5" x14ac:dyDescent="0.25">
      <c r="A79" s="146"/>
      <c r="B79" s="54" t="s">
        <v>123</v>
      </c>
      <c r="C79" s="29">
        <v>6903</v>
      </c>
      <c r="D79" s="148"/>
      <c r="E79" s="21"/>
      <c r="F79" s="30">
        <v>1263</v>
      </c>
      <c r="G79" s="150"/>
      <c r="H79" s="179"/>
      <c r="I79" s="31">
        <v>1066</v>
      </c>
      <c r="J79" s="152"/>
      <c r="K79" s="177"/>
      <c r="L79" s="32">
        <v>1207</v>
      </c>
      <c r="M79" s="154"/>
      <c r="N79" s="156"/>
      <c r="O79" s="33">
        <v>1155</v>
      </c>
      <c r="P79" s="158"/>
      <c r="Q79" s="160"/>
      <c r="R79" s="34">
        <v>1284</v>
      </c>
      <c r="S79" s="143"/>
      <c r="T79" s="164"/>
      <c r="U79" s="34">
        <v>1042</v>
      </c>
      <c r="V79" s="143"/>
      <c r="W79" s="164"/>
      <c r="X79" s="34">
        <v>1201</v>
      </c>
      <c r="Y79" s="143"/>
      <c r="Z79" s="164"/>
      <c r="AA79" s="34">
        <v>1111</v>
      </c>
      <c r="AB79" s="143"/>
      <c r="AC79" s="164"/>
      <c r="AD79" s="34">
        <v>1155</v>
      </c>
      <c r="AE79" s="143"/>
      <c r="AF79" s="164"/>
      <c r="AG79" s="34">
        <v>1079</v>
      </c>
      <c r="AH79" s="143"/>
      <c r="AI79" s="164"/>
      <c r="AJ79" s="34">
        <v>1154</v>
      </c>
      <c r="AK79" s="143"/>
      <c r="AL79" s="164"/>
      <c r="AM79" s="34">
        <v>1063</v>
      </c>
      <c r="AN79" s="143"/>
      <c r="AO79" s="164"/>
      <c r="AP79" s="34">
        <v>1039</v>
      </c>
      <c r="AQ79" s="143"/>
      <c r="AR79" s="164"/>
      <c r="AS79" s="34">
        <v>1014</v>
      </c>
      <c r="AT79" s="143"/>
      <c r="AU79" s="164"/>
      <c r="AV79" s="34">
        <v>949</v>
      </c>
      <c r="AW79" s="143"/>
      <c r="AX79" s="164"/>
      <c r="AY79" s="34">
        <v>915</v>
      </c>
      <c r="AZ79" s="143"/>
    </row>
    <row r="80" spans="1:53" ht="51" x14ac:dyDescent="0.25">
      <c r="A80" s="146" t="s">
        <v>124</v>
      </c>
      <c r="B80" s="54" t="s">
        <v>125</v>
      </c>
      <c r="C80" s="29">
        <v>12</v>
      </c>
      <c r="D80" s="147">
        <f>+C80/C81</f>
        <v>2.5850926324859974E-3</v>
      </c>
      <c r="E80" s="21"/>
      <c r="F80" s="30">
        <v>175</v>
      </c>
      <c r="G80" s="149">
        <f>+F80/F81</f>
        <v>0.16973811833171679</v>
      </c>
      <c r="H80" s="23"/>
      <c r="I80" s="31">
        <v>373</v>
      </c>
      <c r="J80" s="151">
        <f>+I80/I81</f>
        <v>0.96883116883116882</v>
      </c>
      <c r="K80" s="2"/>
      <c r="L80" s="32">
        <v>7</v>
      </c>
      <c r="M80" s="153">
        <f>+L80/L81</f>
        <v>8.2644628099173556E-3</v>
      </c>
      <c r="N80" s="155"/>
      <c r="O80" s="33">
        <v>2</v>
      </c>
      <c r="P80" s="174">
        <f>+O80/O81</f>
        <v>3.1545741324921135E-3</v>
      </c>
      <c r="Q80" s="159"/>
      <c r="R80" s="34">
        <v>5</v>
      </c>
      <c r="S80" s="172">
        <f>+R80/R81</f>
        <v>1.0060362173038229E-2</v>
      </c>
      <c r="T80" s="163" t="s">
        <v>176</v>
      </c>
      <c r="U80" s="34">
        <v>3</v>
      </c>
      <c r="V80" s="172">
        <f>+U80/U81</f>
        <v>5.0590219224283303E-3</v>
      </c>
      <c r="W80" s="163" t="s">
        <v>179</v>
      </c>
      <c r="X80" s="34">
        <v>9</v>
      </c>
      <c r="Y80" s="172">
        <f>+X80/X81</f>
        <v>1.5177065767284991E-2</v>
      </c>
      <c r="Z80" s="163" t="s">
        <v>184</v>
      </c>
      <c r="AA80" s="34">
        <v>16</v>
      </c>
      <c r="AB80" s="172">
        <f>+AA80/AA81</f>
        <v>3.4934497816593885E-2</v>
      </c>
      <c r="AC80" s="163"/>
      <c r="AD80" s="34">
        <v>0</v>
      </c>
      <c r="AE80" s="172">
        <f>+AD80/AD81</f>
        <v>0</v>
      </c>
      <c r="AF80" s="163"/>
      <c r="AG80" s="34">
        <v>14</v>
      </c>
      <c r="AH80" s="172">
        <f>+AG80/AG81</f>
        <v>1.557285873192436E-2</v>
      </c>
      <c r="AI80" s="163"/>
      <c r="AJ80" s="34">
        <v>10</v>
      </c>
      <c r="AK80" s="172">
        <f>+AJ80/AJ81</f>
        <v>1.1848341232227487E-2</v>
      </c>
      <c r="AL80" s="163"/>
      <c r="AM80" s="35">
        <v>111</v>
      </c>
      <c r="AN80" s="172">
        <f>+AM80/AM81</f>
        <v>0.25754060324825984</v>
      </c>
      <c r="AO80" s="163"/>
      <c r="AP80" s="35">
        <v>108</v>
      </c>
      <c r="AQ80" s="172">
        <f>+AP80/AP81</f>
        <v>0.2011173184357542</v>
      </c>
      <c r="AR80" s="163"/>
      <c r="AS80" s="35">
        <v>6</v>
      </c>
      <c r="AT80" s="172">
        <f>+AS80/AS81</f>
        <v>9.9667774086378731E-3</v>
      </c>
      <c r="AU80" s="163"/>
      <c r="AV80" s="35">
        <v>57</v>
      </c>
      <c r="AW80" s="172">
        <f>+AV80/AV81</f>
        <v>0.10382513661202186</v>
      </c>
      <c r="AX80" s="163"/>
      <c r="AY80" s="35">
        <v>14</v>
      </c>
      <c r="AZ80" s="172">
        <f>+AY80/AY81</f>
        <v>4.2296072507552872E-2</v>
      </c>
      <c r="BA80" s="61"/>
    </row>
    <row r="81" spans="1:58" ht="25.5" x14ac:dyDescent="0.25">
      <c r="A81" s="146"/>
      <c r="B81" s="54" t="s">
        <v>126</v>
      </c>
      <c r="C81" s="29">
        <v>4642</v>
      </c>
      <c r="D81" s="148"/>
      <c r="E81" s="21"/>
      <c r="F81" s="30">
        <f>856+175</f>
        <v>1031</v>
      </c>
      <c r="G81" s="150"/>
      <c r="H81" s="23"/>
      <c r="I81" s="31">
        <v>385</v>
      </c>
      <c r="J81" s="152"/>
      <c r="K81" s="25"/>
      <c r="L81" s="32">
        <f>840+7</f>
        <v>847</v>
      </c>
      <c r="M81" s="154"/>
      <c r="N81" s="156"/>
      <c r="O81" s="33">
        <v>634</v>
      </c>
      <c r="P81" s="175"/>
      <c r="Q81" s="160"/>
      <c r="R81" s="34">
        <v>497</v>
      </c>
      <c r="S81" s="173"/>
      <c r="T81" s="164"/>
      <c r="U81" s="34">
        <f>584+9</f>
        <v>593</v>
      </c>
      <c r="V81" s="173"/>
      <c r="W81" s="164"/>
      <c r="X81" s="34">
        <f>575+18</f>
        <v>593</v>
      </c>
      <c r="Y81" s="173"/>
      <c r="Z81" s="164"/>
      <c r="AA81" s="34">
        <v>458</v>
      </c>
      <c r="AB81" s="173"/>
      <c r="AC81" s="164"/>
      <c r="AD81" s="34">
        <v>653</v>
      </c>
      <c r="AE81" s="173"/>
      <c r="AF81" s="164"/>
      <c r="AG81" s="34">
        <f>52+847</f>
        <v>899</v>
      </c>
      <c r="AH81" s="173"/>
      <c r="AI81" s="164"/>
      <c r="AJ81" s="34">
        <f>43+801</f>
        <v>844</v>
      </c>
      <c r="AK81" s="173"/>
      <c r="AL81" s="164"/>
      <c r="AM81" s="35">
        <v>431</v>
      </c>
      <c r="AN81" s="173"/>
      <c r="AO81" s="164"/>
      <c r="AP81" s="35">
        <f>108+429</f>
        <v>537</v>
      </c>
      <c r="AQ81" s="173"/>
      <c r="AR81" s="164"/>
      <c r="AS81" s="35">
        <f>596+6</f>
        <v>602</v>
      </c>
      <c r="AT81" s="173"/>
      <c r="AU81" s="164"/>
      <c r="AV81" s="35">
        <f>492+AV80</f>
        <v>549</v>
      </c>
      <c r="AW81" s="173"/>
      <c r="AX81" s="164"/>
      <c r="AY81" s="35">
        <f>+AY80+317</f>
        <v>331</v>
      </c>
      <c r="AZ81" s="173"/>
      <c r="BA81" s="61"/>
    </row>
    <row r="82" spans="1:58" ht="76.5" hidden="1" x14ac:dyDescent="0.25">
      <c r="A82" s="169" t="s">
        <v>127</v>
      </c>
      <c r="B82" s="56" t="s">
        <v>128</v>
      </c>
      <c r="C82" s="57">
        <v>0</v>
      </c>
      <c r="D82" s="165">
        <v>0</v>
      </c>
      <c r="E82" s="58"/>
      <c r="F82" s="57">
        <v>0</v>
      </c>
      <c r="G82" s="165" t="s">
        <v>47</v>
      </c>
      <c r="H82" s="58"/>
      <c r="I82" s="57">
        <v>0</v>
      </c>
      <c r="J82" s="165" t="s">
        <v>47</v>
      </c>
      <c r="K82" s="58"/>
      <c r="L82" s="57">
        <v>0</v>
      </c>
      <c r="M82" s="165" t="s">
        <v>47</v>
      </c>
      <c r="N82" s="167"/>
      <c r="O82" s="57">
        <v>0</v>
      </c>
      <c r="P82" s="165" t="s">
        <v>47</v>
      </c>
      <c r="Q82" s="167"/>
      <c r="R82" s="57">
        <v>0</v>
      </c>
      <c r="S82" s="165" t="s">
        <v>47</v>
      </c>
      <c r="T82" s="167"/>
      <c r="U82" s="57">
        <v>0</v>
      </c>
      <c r="V82" s="165" t="s">
        <v>47</v>
      </c>
      <c r="W82" s="167"/>
      <c r="X82" s="57">
        <v>0</v>
      </c>
      <c r="Y82" s="165" t="s">
        <v>47</v>
      </c>
      <c r="Z82" s="167"/>
      <c r="AA82" s="57">
        <v>0</v>
      </c>
      <c r="AB82" s="165" t="s">
        <v>47</v>
      </c>
      <c r="AC82" s="167"/>
      <c r="AD82" s="57">
        <v>0</v>
      </c>
      <c r="AE82" s="165" t="s">
        <v>47</v>
      </c>
      <c r="AF82" s="167"/>
      <c r="AG82" s="57">
        <v>0</v>
      </c>
      <c r="AH82" s="165" t="s">
        <v>47</v>
      </c>
      <c r="AI82" s="167"/>
      <c r="AJ82" s="57">
        <v>0</v>
      </c>
      <c r="AK82" s="165" t="s">
        <v>47</v>
      </c>
      <c r="AL82" s="167"/>
      <c r="AM82" s="57" t="s">
        <v>47</v>
      </c>
      <c r="AN82" s="165" t="s">
        <v>47</v>
      </c>
      <c r="AO82" s="167"/>
      <c r="AP82" s="57" t="s">
        <v>47</v>
      </c>
      <c r="AQ82" s="165" t="s">
        <v>47</v>
      </c>
      <c r="AR82" s="167"/>
      <c r="AS82" s="57" t="s">
        <v>47</v>
      </c>
      <c r="AT82" s="165" t="s">
        <v>47</v>
      </c>
      <c r="AU82" s="167"/>
      <c r="AV82" s="57" t="s">
        <v>47</v>
      </c>
      <c r="AW82" s="165" t="s">
        <v>47</v>
      </c>
      <c r="AX82" s="167"/>
      <c r="AY82" s="57" t="s">
        <v>47</v>
      </c>
      <c r="AZ82" s="165" t="s">
        <v>47</v>
      </c>
    </row>
    <row r="83" spans="1:58" ht="38.25" hidden="1" x14ac:dyDescent="0.25">
      <c r="A83" s="169"/>
      <c r="B83" s="56" t="s">
        <v>129</v>
      </c>
      <c r="C83" s="57">
        <v>0</v>
      </c>
      <c r="D83" s="166"/>
      <c r="E83" s="58"/>
      <c r="F83" s="57">
        <v>0</v>
      </c>
      <c r="G83" s="166"/>
      <c r="H83" s="58"/>
      <c r="I83" s="57">
        <v>0</v>
      </c>
      <c r="J83" s="166"/>
      <c r="K83" s="58"/>
      <c r="L83" s="57">
        <v>0</v>
      </c>
      <c r="M83" s="166"/>
      <c r="N83" s="168"/>
      <c r="O83" s="57">
        <v>0</v>
      </c>
      <c r="P83" s="166"/>
      <c r="Q83" s="168"/>
      <c r="R83" s="57">
        <v>0</v>
      </c>
      <c r="S83" s="166"/>
      <c r="T83" s="168"/>
      <c r="U83" s="57">
        <v>0</v>
      </c>
      <c r="V83" s="166"/>
      <c r="W83" s="168"/>
      <c r="X83" s="57">
        <v>0</v>
      </c>
      <c r="Y83" s="166"/>
      <c r="Z83" s="168"/>
      <c r="AA83" s="57">
        <v>0</v>
      </c>
      <c r="AB83" s="166"/>
      <c r="AC83" s="168"/>
      <c r="AD83" s="57">
        <v>0</v>
      </c>
      <c r="AE83" s="166"/>
      <c r="AF83" s="168"/>
      <c r="AG83" s="57">
        <v>0</v>
      </c>
      <c r="AH83" s="166"/>
      <c r="AI83" s="168"/>
      <c r="AJ83" s="57">
        <v>0</v>
      </c>
      <c r="AK83" s="166"/>
      <c r="AL83" s="168"/>
      <c r="AM83" s="57" t="s">
        <v>47</v>
      </c>
      <c r="AN83" s="166"/>
      <c r="AO83" s="168"/>
      <c r="AP83" s="57" t="s">
        <v>47</v>
      </c>
      <c r="AQ83" s="166"/>
      <c r="AR83" s="168"/>
      <c r="AS83" s="57" t="s">
        <v>47</v>
      </c>
      <c r="AT83" s="166"/>
      <c r="AU83" s="168"/>
      <c r="AV83" s="57" t="s">
        <v>47</v>
      </c>
      <c r="AW83" s="166"/>
      <c r="AX83" s="168"/>
      <c r="AY83" s="57" t="s">
        <v>47</v>
      </c>
      <c r="AZ83" s="166"/>
    </row>
    <row r="84" spans="1:58" ht="76.5" hidden="1" x14ac:dyDescent="0.25">
      <c r="A84" s="169" t="s">
        <v>130</v>
      </c>
      <c r="B84" s="56" t="s">
        <v>131</v>
      </c>
      <c r="C84" s="57">
        <v>0</v>
      </c>
      <c r="D84" s="165">
        <v>0</v>
      </c>
      <c r="E84" s="58"/>
      <c r="F84" s="57">
        <v>0</v>
      </c>
      <c r="G84" s="165" t="s">
        <v>47</v>
      </c>
      <c r="H84" s="58"/>
      <c r="I84" s="57">
        <v>0</v>
      </c>
      <c r="J84" s="165" t="s">
        <v>47</v>
      </c>
      <c r="K84" s="58"/>
      <c r="L84" s="57">
        <v>0</v>
      </c>
      <c r="M84" s="165" t="s">
        <v>47</v>
      </c>
      <c r="N84" s="167"/>
      <c r="O84" s="57">
        <v>0</v>
      </c>
      <c r="P84" s="165" t="s">
        <v>47</v>
      </c>
      <c r="Q84" s="167"/>
      <c r="R84" s="57">
        <v>0</v>
      </c>
      <c r="S84" s="165" t="s">
        <v>47</v>
      </c>
      <c r="T84" s="167"/>
      <c r="U84" s="57">
        <v>0</v>
      </c>
      <c r="V84" s="165" t="s">
        <v>47</v>
      </c>
      <c r="W84" s="167"/>
      <c r="X84" s="57">
        <v>0</v>
      </c>
      <c r="Y84" s="165" t="s">
        <v>47</v>
      </c>
      <c r="Z84" s="167"/>
      <c r="AA84" s="57">
        <v>0</v>
      </c>
      <c r="AB84" s="165" t="s">
        <v>47</v>
      </c>
      <c r="AC84" s="167"/>
      <c r="AD84" s="57">
        <v>0</v>
      </c>
      <c r="AE84" s="165" t="s">
        <v>47</v>
      </c>
      <c r="AF84" s="167"/>
      <c r="AG84" s="57">
        <v>0</v>
      </c>
      <c r="AH84" s="165" t="s">
        <v>47</v>
      </c>
      <c r="AI84" s="167"/>
      <c r="AJ84" s="57">
        <v>0</v>
      </c>
      <c r="AK84" s="165" t="s">
        <v>47</v>
      </c>
      <c r="AL84" s="167"/>
      <c r="AM84" s="57" t="s">
        <v>47</v>
      </c>
      <c r="AN84" s="165" t="s">
        <v>47</v>
      </c>
      <c r="AO84" s="167"/>
      <c r="AP84" s="57" t="s">
        <v>47</v>
      </c>
      <c r="AQ84" s="165" t="s">
        <v>47</v>
      </c>
      <c r="AR84" s="167"/>
      <c r="AS84" s="57" t="s">
        <v>47</v>
      </c>
      <c r="AT84" s="165" t="s">
        <v>47</v>
      </c>
      <c r="AU84" s="167"/>
      <c r="AV84" s="57" t="s">
        <v>47</v>
      </c>
      <c r="AW84" s="165" t="s">
        <v>47</v>
      </c>
      <c r="AX84" s="167"/>
      <c r="AY84" s="57" t="s">
        <v>47</v>
      </c>
      <c r="AZ84" s="165" t="s">
        <v>47</v>
      </c>
    </row>
    <row r="85" spans="1:58" ht="38.25" hidden="1" x14ac:dyDescent="0.25">
      <c r="A85" s="169"/>
      <c r="B85" s="56" t="s">
        <v>132</v>
      </c>
      <c r="C85" s="57">
        <v>0</v>
      </c>
      <c r="D85" s="166"/>
      <c r="E85" s="58"/>
      <c r="F85" s="57">
        <v>0</v>
      </c>
      <c r="G85" s="166"/>
      <c r="H85" s="58"/>
      <c r="I85" s="57">
        <v>0</v>
      </c>
      <c r="J85" s="166"/>
      <c r="K85" s="58"/>
      <c r="L85" s="57">
        <v>0</v>
      </c>
      <c r="M85" s="166"/>
      <c r="N85" s="168"/>
      <c r="O85" s="57">
        <v>0</v>
      </c>
      <c r="P85" s="166"/>
      <c r="Q85" s="168"/>
      <c r="R85" s="57">
        <v>0</v>
      </c>
      <c r="S85" s="166"/>
      <c r="T85" s="168"/>
      <c r="U85" s="57">
        <v>0</v>
      </c>
      <c r="V85" s="166"/>
      <c r="W85" s="168"/>
      <c r="X85" s="57">
        <v>0</v>
      </c>
      <c r="Y85" s="166"/>
      <c r="Z85" s="168"/>
      <c r="AA85" s="57">
        <v>0</v>
      </c>
      <c r="AB85" s="166"/>
      <c r="AC85" s="168"/>
      <c r="AD85" s="57">
        <v>0</v>
      </c>
      <c r="AE85" s="166"/>
      <c r="AF85" s="168"/>
      <c r="AG85" s="57">
        <v>0</v>
      </c>
      <c r="AH85" s="166"/>
      <c r="AI85" s="168"/>
      <c r="AJ85" s="57">
        <v>0</v>
      </c>
      <c r="AK85" s="166"/>
      <c r="AL85" s="168"/>
      <c r="AM85" s="57" t="s">
        <v>47</v>
      </c>
      <c r="AN85" s="166"/>
      <c r="AO85" s="168"/>
      <c r="AP85" s="57" t="s">
        <v>47</v>
      </c>
      <c r="AQ85" s="166"/>
      <c r="AR85" s="168"/>
      <c r="AS85" s="57" t="s">
        <v>47</v>
      </c>
      <c r="AT85" s="166"/>
      <c r="AU85" s="168"/>
      <c r="AV85" s="57" t="s">
        <v>47</v>
      </c>
      <c r="AW85" s="166"/>
      <c r="AX85" s="168"/>
      <c r="AY85" s="57" t="s">
        <v>47</v>
      </c>
      <c r="AZ85" s="166"/>
    </row>
    <row r="86" spans="1:58" s="61" customFormat="1" ht="76.5" x14ac:dyDescent="0.25">
      <c r="A86" s="169" t="s">
        <v>133</v>
      </c>
      <c r="B86" s="60" t="s">
        <v>134</v>
      </c>
      <c r="C86" s="57">
        <v>42520.800000000003</v>
      </c>
      <c r="D86" s="165">
        <f>+C86/C87</f>
        <v>11.768183327798074</v>
      </c>
      <c r="E86" s="58"/>
      <c r="F86" s="57">
        <v>3062</v>
      </c>
      <c r="G86" s="165">
        <f>+F86/F87</f>
        <v>10.072368421052632</v>
      </c>
      <c r="H86" s="58"/>
      <c r="I86" s="57">
        <v>11353</v>
      </c>
      <c r="J86" s="165">
        <f>+I86/I87</f>
        <v>28.453634085213032</v>
      </c>
      <c r="K86" s="58"/>
      <c r="L86" s="57">
        <v>8297</v>
      </c>
      <c r="M86" s="165">
        <f>+L86/L87</f>
        <v>22.007957559681696</v>
      </c>
      <c r="N86" s="167"/>
      <c r="O86" s="57">
        <v>4450</v>
      </c>
      <c r="P86" s="165">
        <f>+O86/O87</f>
        <v>12.936046511627907</v>
      </c>
      <c r="Q86" s="167"/>
      <c r="R86" s="57">
        <v>2846</v>
      </c>
      <c r="S86" s="165">
        <f>+R86/R87</f>
        <v>10.699248120300751</v>
      </c>
      <c r="T86" s="167"/>
      <c r="U86" s="57">
        <v>5062</v>
      </c>
      <c r="V86" s="165">
        <f>+U86/U87</f>
        <v>15.020771513353116</v>
      </c>
      <c r="W86" s="167"/>
      <c r="X86" s="57">
        <v>7500</v>
      </c>
      <c r="Y86" s="165">
        <f>+X86/X87</f>
        <v>27.075812274368232</v>
      </c>
      <c r="Z86" s="167"/>
      <c r="AA86" s="57">
        <v>7938</v>
      </c>
      <c r="AB86" s="165">
        <f>+AA86/AA87</f>
        <v>28.970802919708028</v>
      </c>
      <c r="AC86" s="167"/>
      <c r="AD86" s="57">
        <v>9135</v>
      </c>
      <c r="AE86" s="165">
        <f>+AD86/AD87</f>
        <v>33.584558823529413</v>
      </c>
      <c r="AF86" s="167"/>
      <c r="AG86" s="57">
        <v>11611</v>
      </c>
      <c r="AH86" s="165">
        <f>+AG86/AG87</f>
        <v>31.296495956873315</v>
      </c>
      <c r="AI86" s="167"/>
      <c r="AJ86" s="57">
        <v>14197</v>
      </c>
      <c r="AK86" s="165">
        <f>+AJ86/AJ87</f>
        <v>39.218232044198892</v>
      </c>
      <c r="AL86" s="167"/>
      <c r="AM86" s="57">
        <v>15476</v>
      </c>
      <c r="AN86" s="165">
        <f>+AM86/AM87</f>
        <v>49.444089456869008</v>
      </c>
      <c r="AO86" s="167"/>
      <c r="AP86" s="57">
        <v>15245</v>
      </c>
      <c r="AQ86" s="165">
        <f>+AP86/AP87</f>
        <v>49.177419354838712</v>
      </c>
      <c r="AR86" s="167"/>
      <c r="AS86" s="57">
        <v>15699</v>
      </c>
      <c r="AT86" s="165">
        <f>+AS86/AS87</f>
        <v>43.974789915966383</v>
      </c>
      <c r="AU86" s="167"/>
      <c r="AV86" s="57">
        <v>14497</v>
      </c>
      <c r="AW86" s="165">
        <f>+AV86/AV87</f>
        <v>54.5</v>
      </c>
      <c r="AX86" s="167"/>
      <c r="AY86" s="57">
        <v>12088</v>
      </c>
      <c r="AZ86" s="165">
        <f>+AY86/AY87</f>
        <v>62.632124352331608</v>
      </c>
      <c r="BA86" s="61">
        <f t="shared" ref="BA86:BA91" si="0">+AJ86+AM86+AP86+AS86+AV86+AY86</f>
        <v>87202</v>
      </c>
      <c r="BB86" s="61">
        <f>+BA86/BA87</f>
        <v>48.418656302054416</v>
      </c>
      <c r="BC86" s="61">
        <f t="shared" ref="BC86:BC91" si="1">+R86+U86+X86+AA86+AD86+AG86</f>
        <v>44092</v>
      </c>
      <c r="BD86" s="61">
        <f>+BC86/BC87</f>
        <v>24.536449638286033</v>
      </c>
      <c r="BE86" s="61">
        <f t="shared" ref="BE86:BE91" si="2">+BA86+BC86</f>
        <v>131294</v>
      </c>
      <c r="BF86" s="61">
        <f>+BE86/BE87</f>
        <v>36.490828237909952</v>
      </c>
    </row>
    <row r="87" spans="1:58" s="61" customFormat="1" ht="38.25" x14ac:dyDescent="0.25">
      <c r="A87" s="169"/>
      <c r="B87" s="60" t="s">
        <v>135</v>
      </c>
      <c r="C87" s="57">
        <v>3613.2000000000003</v>
      </c>
      <c r="D87" s="166"/>
      <c r="E87" s="58"/>
      <c r="F87" s="57">
        <v>304</v>
      </c>
      <c r="G87" s="166"/>
      <c r="H87" s="58"/>
      <c r="I87" s="57">
        <v>399</v>
      </c>
      <c r="J87" s="166"/>
      <c r="K87" s="58"/>
      <c r="L87" s="57">
        <v>377</v>
      </c>
      <c r="M87" s="166"/>
      <c r="N87" s="168"/>
      <c r="O87" s="57">
        <v>344</v>
      </c>
      <c r="P87" s="166"/>
      <c r="Q87" s="168"/>
      <c r="R87" s="57">
        <v>266</v>
      </c>
      <c r="S87" s="166"/>
      <c r="T87" s="168"/>
      <c r="U87" s="57">
        <v>337</v>
      </c>
      <c r="V87" s="166"/>
      <c r="W87" s="168"/>
      <c r="X87" s="57">
        <v>277</v>
      </c>
      <c r="Y87" s="166"/>
      <c r="Z87" s="168"/>
      <c r="AA87" s="57">
        <v>274</v>
      </c>
      <c r="AB87" s="166"/>
      <c r="AC87" s="168"/>
      <c r="AD87" s="57">
        <v>272</v>
      </c>
      <c r="AE87" s="166"/>
      <c r="AF87" s="168"/>
      <c r="AG87" s="57">
        <v>371</v>
      </c>
      <c r="AH87" s="166"/>
      <c r="AI87" s="168"/>
      <c r="AJ87" s="57">
        <v>362</v>
      </c>
      <c r="AK87" s="166"/>
      <c r="AL87" s="168"/>
      <c r="AM87" s="57">
        <v>313</v>
      </c>
      <c r="AN87" s="166"/>
      <c r="AO87" s="168"/>
      <c r="AP87" s="57">
        <v>310</v>
      </c>
      <c r="AQ87" s="166"/>
      <c r="AR87" s="168"/>
      <c r="AS87" s="57">
        <v>357</v>
      </c>
      <c r="AT87" s="166"/>
      <c r="AU87" s="168"/>
      <c r="AV87" s="57">
        <v>266</v>
      </c>
      <c r="AW87" s="166"/>
      <c r="AX87" s="168"/>
      <c r="AY87" s="57">
        <v>193</v>
      </c>
      <c r="AZ87" s="166"/>
      <c r="BA87" s="61">
        <f t="shared" si="0"/>
        <v>1801</v>
      </c>
      <c r="BC87" s="61">
        <f t="shared" si="1"/>
        <v>1797</v>
      </c>
      <c r="BE87" s="61">
        <f t="shared" si="2"/>
        <v>3598</v>
      </c>
    </row>
    <row r="88" spans="1:58" s="61" customFormat="1" ht="76.5" x14ac:dyDescent="0.25">
      <c r="A88" s="169" t="s">
        <v>136</v>
      </c>
      <c r="B88" s="60" t="s">
        <v>137</v>
      </c>
      <c r="C88" s="57">
        <v>8035.2000000000007</v>
      </c>
      <c r="D88" s="165">
        <f>+C88/C89</f>
        <v>7.0484210526315794</v>
      </c>
      <c r="E88" s="58"/>
      <c r="F88" s="57">
        <v>811</v>
      </c>
      <c r="G88" s="165">
        <f>+F88/F89</f>
        <v>5.6713286713286717</v>
      </c>
      <c r="H88" s="58"/>
      <c r="I88" s="57">
        <v>5393</v>
      </c>
      <c r="J88" s="165">
        <f>+I88/I89</f>
        <v>40.856060606060609</v>
      </c>
      <c r="K88" s="58"/>
      <c r="L88" s="57">
        <v>3858</v>
      </c>
      <c r="M88" s="165">
        <f>+L88/L89</f>
        <v>31.622950819672131</v>
      </c>
      <c r="N88" s="167"/>
      <c r="O88" s="57">
        <v>1129</v>
      </c>
      <c r="P88" s="165">
        <f>+O88/O89</f>
        <v>13.127906976744185</v>
      </c>
      <c r="Q88" s="167"/>
      <c r="R88" s="57">
        <v>308</v>
      </c>
      <c r="S88" s="165">
        <f>+R88/R89</f>
        <v>5.1333333333333337</v>
      </c>
      <c r="T88" s="167"/>
      <c r="U88" s="57">
        <v>498</v>
      </c>
      <c r="V88" s="165">
        <f>+U88/U89</f>
        <v>5.6590909090909092</v>
      </c>
      <c r="W88" s="167"/>
      <c r="X88" s="57">
        <v>548</v>
      </c>
      <c r="Y88" s="165">
        <f>+X88/X89</f>
        <v>8.8387096774193541</v>
      </c>
      <c r="Z88" s="167"/>
      <c r="AA88" s="57">
        <v>410</v>
      </c>
      <c r="AB88" s="165">
        <f>+AA88/AA89</f>
        <v>9.3181818181818183</v>
      </c>
      <c r="AC88" s="167"/>
      <c r="AD88" s="57">
        <v>581</v>
      </c>
      <c r="AE88" s="165">
        <f>+AD88/AD89</f>
        <v>7.5454545454545459</v>
      </c>
      <c r="AF88" s="167"/>
      <c r="AG88" s="57">
        <v>526</v>
      </c>
      <c r="AH88" s="165">
        <f>+AG88/AG89</f>
        <v>7.9696969696969697</v>
      </c>
      <c r="AI88" s="167"/>
      <c r="AJ88" s="57">
        <v>687</v>
      </c>
      <c r="AK88" s="165">
        <f>+AJ88/AJ89</f>
        <v>11.45</v>
      </c>
      <c r="AL88" s="167"/>
      <c r="AM88" s="57">
        <v>729</v>
      </c>
      <c r="AN88" s="165">
        <f>+AM88/AM89</f>
        <v>8.0109890109890109</v>
      </c>
      <c r="AO88" s="167"/>
      <c r="AP88" s="57">
        <v>680</v>
      </c>
      <c r="AQ88" s="165">
        <f>+AP88/AP89</f>
        <v>11.525423728813559</v>
      </c>
      <c r="AR88" s="167"/>
      <c r="AS88" s="57">
        <v>557</v>
      </c>
      <c r="AT88" s="165">
        <f>+AS88/AS89</f>
        <v>10.127272727272727</v>
      </c>
      <c r="AU88" s="167"/>
      <c r="AV88" s="57">
        <v>474</v>
      </c>
      <c r="AW88" s="165">
        <f>+AV88/AV89</f>
        <v>9.6734693877551017</v>
      </c>
      <c r="AX88" s="167"/>
      <c r="AY88" s="57">
        <v>281</v>
      </c>
      <c r="AZ88" s="165">
        <f>+AY88/AY89</f>
        <v>6.2444444444444445</v>
      </c>
      <c r="BA88" s="61">
        <f t="shared" si="0"/>
        <v>3408</v>
      </c>
      <c r="BB88" s="61">
        <f>+BA88/BA89</f>
        <v>9.4930362116991649</v>
      </c>
      <c r="BC88" s="61">
        <f t="shared" si="1"/>
        <v>2871</v>
      </c>
      <c r="BD88" s="61">
        <f>+BC88/BC89</f>
        <v>7.2317380352644838</v>
      </c>
      <c r="BE88" s="61">
        <f t="shared" si="2"/>
        <v>6279</v>
      </c>
      <c r="BF88" s="61">
        <f>+BE88/BE89</f>
        <v>8.3055555555555554</v>
      </c>
    </row>
    <row r="89" spans="1:58" s="61" customFormat="1" ht="38.25" x14ac:dyDescent="0.25">
      <c r="A89" s="169"/>
      <c r="B89" s="60" t="s">
        <v>138</v>
      </c>
      <c r="C89" s="57">
        <v>1140</v>
      </c>
      <c r="D89" s="166"/>
      <c r="E89" s="58"/>
      <c r="F89" s="57">
        <v>143</v>
      </c>
      <c r="G89" s="166"/>
      <c r="H89" s="58"/>
      <c r="I89" s="57">
        <v>132</v>
      </c>
      <c r="J89" s="166"/>
      <c r="K89" s="58"/>
      <c r="L89" s="57">
        <v>122</v>
      </c>
      <c r="M89" s="166"/>
      <c r="N89" s="168"/>
      <c r="O89" s="57">
        <v>86</v>
      </c>
      <c r="P89" s="166"/>
      <c r="Q89" s="168"/>
      <c r="R89" s="57">
        <v>60</v>
      </c>
      <c r="S89" s="166"/>
      <c r="T89" s="168"/>
      <c r="U89" s="57">
        <v>88</v>
      </c>
      <c r="V89" s="166"/>
      <c r="W89" s="168"/>
      <c r="X89" s="57">
        <v>62</v>
      </c>
      <c r="Y89" s="166"/>
      <c r="Z89" s="168"/>
      <c r="AA89" s="57">
        <v>44</v>
      </c>
      <c r="AB89" s="166"/>
      <c r="AC89" s="168"/>
      <c r="AD89" s="57">
        <v>77</v>
      </c>
      <c r="AE89" s="166"/>
      <c r="AF89" s="168"/>
      <c r="AG89" s="57">
        <v>66</v>
      </c>
      <c r="AH89" s="166"/>
      <c r="AI89" s="168"/>
      <c r="AJ89" s="57">
        <v>60</v>
      </c>
      <c r="AK89" s="166"/>
      <c r="AL89" s="168"/>
      <c r="AM89" s="57">
        <v>91</v>
      </c>
      <c r="AN89" s="166"/>
      <c r="AO89" s="168"/>
      <c r="AP89" s="57">
        <v>59</v>
      </c>
      <c r="AQ89" s="166"/>
      <c r="AR89" s="168"/>
      <c r="AS89" s="57">
        <v>55</v>
      </c>
      <c r="AT89" s="166"/>
      <c r="AU89" s="168"/>
      <c r="AV89" s="57">
        <v>49</v>
      </c>
      <c r="AW89" s="166"/>
      <c r="AX89" s="168"/>
      <c r="AY89" s="57">
        <v>45</v>
      </c>
      <c r="AZ89" s="166"/>
      <c r="BA89" s="61">
        <f t="shared" si="0"/>
        <v>359</v>
      </c>
      <c r="BC89" s="61">
        <f t="shared" si="1"/>
        <v>397</v>
      </c>
      <c r="BE89" s="61">
        <f t="shared" si="2"/>
        <v>756</v>
      </c>
    </row>
    <row r="90" spans="1:58" s="61" customFormat="1" ht="76.5" x14ac:dyDescent="0.25">
      <c r="A90" s="169" t="s">
        <v>139</v>
      </c>
      <c r="B90" s="60" t="s">
        <v>140</v>
      </c>
      <c r="C90" s="57">
        <v>33636</v>
      </c>
      <c r="D90" s="165">
        <f>+C90/C91</f>
        <v>7.0622323003275396</v>
      </c>
      <c r="E90" s="58"/>
      <c r="F90" s="57">
        <v>2061</v>
      </c>
      <c r="G90" s="165">
        <f>+F90/F91</f>
        <v>6.627009646302251</v>
      </c>
      <c r="H90" s="58"/>
      <c r="I90" s="57">
        <v>2781</v>
      </c>
      <c r="J90" s="165">
        <f>+I90/I91</f>
        <v>14.188775510204081</v>
      </c>
      <c r="K90" s="58"/>
      <c r="L90" s="57">
        <v>535</v>
      </c>
      <c r="M90" s="165">
        <f>+L90/L91</f>
        <v>2.9722222222222223</v>
      </c>
      <c r="N90" s="167"/>
      <c r="O90" s="57">
        <v>1003</v>
      </c>
      <c r="P90" s="165">
        <f>+O90/O91</f>
        <v>4.9900497512437809</v>
      </c>
      <c r="Q90" s="167"/>
      <c r="R90" s="57">
        <v>1389</v>
      </c>
      <c r="S90" s="165">
        <f>+R90/R91</f>
        <v>4.9607142857142854</v>
      </c>
      <c r="T90" s="167"/>
      <c r="U90" s="57">
        <v>1848</v>
      </c>
      <c r="V90" s="165">
        <f>+U90/U91</f>
        <v>5.8481012658227849</v>
      </c>
      <c r="W90" s="167"/>
      <c r="X90" s="57">
        <v>1935</v>
      </c>
      <c r="Y90" s="165">
        <f>+X90/X91</f>
        <v>7.062043795620438</v>
      </c>
      <c r="Z90" s="167"/>
      <c r="AA90" s="57">
        <v>1429</v>
      </c>
      <c r="AB90" s="165">
        <f>+AA90/AA91</f>
        <v>5.808943089430894</v>
      </c>
      <c r="AC90" s="167"/>
      <c r="AD90" s="57">
        <v>1866</v>
      </c>
      <c r="AE90" s="165">
        <f>+AD90/AD91</f>
        <v>5.8864353312302837</v>
      </c>
      <c r="AF90" s="167"/>
      <c r="AG90" s="57">
        <v>2271</v>
      </c>
      <c r="AH90" s="165">
        <f>+AG90/AG91</f>
        <v>7.3973941368078178</v>
      </c>
      <c r="AI90" s="167"/>
      <c r="AJ90" s="57">
        <v>2388</v>
      </c>
      <c r="AK90" s="165">
        <f>+AJ90/AJ91</f>
        <v>8.0404040404040398</v>
      </c>
      <c r="AL90" s="167"/>
      <c r="AM90" s="57">
        <v>2926</v>
      </c>
      <c r="AN90" s="165">
        <f>+AM90/AM91</f>
        <v>9.625</v>
      </c>
      <c r="AO90" s="167"/>
      <c r="AP90" s="57">
        <v>2382</v>
      </c>
      <c r="AQ90" s="165">
        <f>+AP90/AP91</f>
        <v>9.3046875</v>
      </c>
      <c r="AR90" s="167"/>
      <c r="AS90" s="57">
        <v>1955</v>
      </c>
      <c r="AT90" s="165">
        <f>+AS90/AS91</f>
        <v>8.1458333333333339</v>
      </c>
      <c r="AU90" s="167"/>
      <c r="AV90" s="57">
        <v>1166</v>
      </c>
      <c r="AW90" s="165">
        <f>+AV90/AV91</f>
        <v>7.1097560975609753</v>
      </c>
      <c r="AX90" s="167"/>
      <c r="AY90" s="57">
        <v>487</v>
      </c>
      <c r="AZ90" s="165">
        <f>+AY90/AY91</f>
        <v>4.5092592592592595</v>
      </c>
      <c r="BA90" s="61">
        <f t="shared" si="0"/>
        <v>11304</v>
      </c>
      <c r="BC90" s="61">
        <f t="shared" si="1"/>
        <v>10738</v>
      </c>
      <c r="BD90" s="61">
        <f>+BC90/BC91</f>
        <v>6.1712643678160921</v>
      </c>
      <c r="BE90" s="61">
        <f t="shared" si="2"/>
        <v>22042</v>
      </c>
      <c r="BF90" s="61">
        <f>+BE90/BE91</f>
        <v>7.0897394660662592</v>
      </c>
    </row>
    <row r="91" spans="1:58" s="61" customFormat="1" ht="38.25" x14ac:dyDescent="0.25">
      <c r="A91" s="169"/>
      <c r="B91" s="60" t="s">
        <v>141</v>
      </c>
      <c r="C91" s="57">
        <v>4762.7999999999993</v>
      </c>
      <c r="D91" s="166"/>
      <c r="E91" s="58"/>
      <c r="F91" s="57">
        <v>311</v>
      </c>
      <c r="G91" s="166"/>
      <c r="H91" s="58"/>
      <c r="I91" s="57">
        <v>196</v>
      </c>
      <c r="J91" s="166"/>
      <c r="K91" s="58"/>
      <c r="L91" s="57">
        <v>180</v>
      </c>
      <c r="M91" s="166"/>
      <c r="N91" s="168"/>
      <c r="O91" s="57">
        <v>201</v>
      </c>
      <c r="P91" s="166"/>
      <c r="Q91" s="168"/>
      <c r="R91" s="57">
        <v>280</v>
      </c>
      <c r="S91" s="166"/>
      <c r="T91" s="168"/>
      <c r="U91" s="57">
        <v>316</v>
      </c>
      <c r="V91" s="166"/>
      <c r="W91" s="168"/>
      <c r="X91" s="57">
        <v>274</v>
      </c>
      <c r="Y91" s="166"/>
      <c r="Z91" s="168"/>
      <c r="AA91" s="57">
        <v>246</v>
      </c>
      <c r="AB91" s="166"/>
      <c r="AC91" s="168"/>
      <c r="AD91" s="57">
        <v>317</v>
      </c>
      <c r="AE91" s="166"/>
      <c r="AF91" s="168"/>
      <c r="AG91" s="57">
        <v>307</v>
      </c>
      <c r="AH91" s="166"/>
      <c r="AI91" s="168"/>
      <c r="AJ91" s="57">
        <v>297</v>
      </c>
      <c r="AK91" s="166"/>
      <c r="AL91" s="168"/>
      <c r="AM91" s="57">
        <v>304</v>
      </c>
      <c r="AN91" s="166"/>
      <c r="AO91" s="168"/>
      <c r="AP91" s="57">
        <v>256</v>
      </c>
      <c r="AQ91" s="166"/>
      <c r="AR91" s="168"/>
      <c r="AS91" s="57">
        <v>240</v>
      </c>
      <c r="AT91" s="166"/>
      <c r="AU91" s="168"/>
      <c r="AV91" s="57">
        <v>164</v>
      </c>
      <c r="AW91" s="166"/>
      <c r="AX91" s="168"/>
      <c r="AY91" s="57">
        <v>108</v>
      </c>
      <c r="AZ91" s="166"/>
      <c r="BA91" s="61">
        <f t="shared" si="0"/>
        <v>1369</v>
      </c>
      <c r="BC91" s="61">
        <f t="shared" si="1"/>
        <v>1740</v>
      </c>
      <c r="BE91" s="61">
        <f t="shared" si="2"/>
        <v>3109</v>
      </c>
    </row>
    <row r="92" spans="1:58" s="61" customFormat="1" ht="76.5" x14ac:dyDescent="0.25">
      <c r="A92" s="169" t="s">
        <v>142</v>
      </c>
      <c r="B92" s="60" t="s">
        <v>143</v>
      </c>
      <c r="C92" s="57">
        <v>33636</v>
      </c>
      <c r="D92" s="165">
        <f>+C92/C93</f>
        <v>7.0622323003275396</v>
      </c>
      <c r="E92" s="58"/>
      <c r="F92" s="57">
        <v>2061</v>
      </c>
      <c r="G92" s="165">
        <f>+F92/F93</f>
        <v>6.627009646302251</v>
      </c>
      <c r="H92" s="58"/>
      <c r="I92" s="57">
        <v>2781</v>
      </c>
      <c r="J92" s="165">
        <f>+I92/I93</f>
        <v>14.188775510204081</v>
      </c>
      <c r="K92" s="58"/>
      <c r="L92" s="57">
        <v>535</v>
      </c>
      <c r="M92" s="165">
        <f>+L92/L93</f>
        <v>2.9722222222222223</v>
      </c>
      <c r="N92" s="167"/>
      <c r="O92" s="57">
        <v>1003</v>
      </c>
      <c r="P92" s="165">
        <f>+O92/O93</f>
        <v>4.9900497512437809</v>
      </c>
      <c r="Q92" s="167"/>
      <c r="R92" s="57">
        <v>1389</v>
      </c>
      <c r="S92" s="165">
        <f>+R92/R93</f>
        <v>4.9607142857142854</v>
      </c>
      <c r="T92" s="167"/>
      <c r="U92" s="57">
        <v>1848</v>
      </c>
      <c r="V92" s="165">
        <f>+U92/U93</f>
        <v>5.8481012658227849</v>
      </c>
      <c r="W92" s="167"/>
      <c r="X92" s="57">
        <v>1935</v>
      </c>
      <c r="Y92" s="165">
        <f>+X92/X93</f>
        <v>7.062043795620438</v>
      </c>
      <c r="Z92" s="167"/>
      <c r="AA92" s="57">
        <v>1429</v>
      </c>
      <c r="AB92" s="165">
        <f>+AA92/AA93</f>
        <v>5.808943089430894</v>
      </c>
      <c r="AC92" s="167"/>
      <c r="AD92" s="57">
        <v>1866</v>
      </c>
      <c r="AE92" s="165">
        <f>+AD92/AD93</f>
        <v>5.8864353312302837</v>
      </c>
      <c r="AF92" s="167"/>
      <c r="AG92" s="57">
        <v>0</v>
      </c>
      <c r="AH92" s="165" t="e">
        <f>+AG92/AG93</f>
        <v>#DIV/0!</v>
      </c>
      <c r="AI92" s="170" t="s">
        <v>190</v>
      </c>
      <c r="AJ92" s="57">
        <v>0</v>
      </c>
      <c r="AK92" s="165" t="e">
        <f>+AJ92/AJ93</f>
        <v>#DIV/0!</v>
      </c>
      <c r="AL92" s="170" t="s">
        <v>190</v>
      </c>
      <c r="AM92" s="57" t="s">
        <v>47</v>
      </c>
      <c r="AN92" s="165" t="s">
        <v>47</v>
      </c>
      <c r="AO92" s="170" t="s">
        <v>190</v>
      </c>
      <c r="AP92" s="57" t="s">
        <v>47</v>
      </c>
      <c r="AQ92" s="165" t="s">
        <v>47</v>
      </c>
      <c r="AR92" s="170" t="s">
        <v>190</v>
      </c>
      <c r="AS92" s="57" t="s">
        <v>47</v>
      </c>
      <c r="AT92" s="165" t="s">
        <v>47</v>
      </c>
      <c r="AU92" s="170" t="s">
        <v>190</v>
      </c>
      <c r="AV92" s="57" t="s">
        <v>47</v>
      </c>
      <c r="AW92" s="165" t="s">
        <v>47</v>
      </c>
      <c r="AX92" s="170" t="s">
        <v>190</v>
      </c>
      <c r="AY92" s="57" t="s">
        <v>47</v>
      </c>
      <c r="AZ92" s="165" t="s">
        <v>47</v>
      </c>
    </row>
    <row r="93" spans="1:58" s="61" customFormat="1" ht="38.25" x14ac:dyDescent="0.25">
      <c r="A93" s="169"/>
      <c r="B93" s="60" t="s">
        <v>144</v>
      </c>
      <c r="C93" s="57">
        <v>4762.7999999999993</v>
      </c>
      <c r="D93" s="166"/>
      <c r="E93" s="58"/>
      <c r="F93" s="57">
        <v>311</v>
      </c>
      <c r="G93" s="166"/>
      <c r="H93" s="58"/>
      <c r="I93" s="57">
        <v>196</v>
      </c>
      <c r="J93" s="166"/>
      <c r="K93" s="58"/>
      <c r="L93" s="57">
        <v>180</v>
      </c>
      <c r="M93" s="166"/>
      <c r="N93" s="168"/>
      <c r="O93" s="57">
        <v>201</v>
      </c>
      <c r="P93" s="166"/>
      <c r="Q93" s="168"/>
      <c r="R93" s="57">
        <v>280</v>
      </c>
      <c r="S93" s="166"/>
      <c r="T93" s="168"/>
      <c r="U93" s="57">
        <v>316</v>
      </c>
      <c r="V93" s="166"/>
      <c r="W93" s="168"/>
      <c r="X93" s="57">
        <v>274</v>
      </c>
      <c r="Y93" s="166"/>
      <c r="Z93" s="168"/>
      <c r="AA93" s="57">
        <v>246</v>
      </c>
      <c r="AB93" s="166"/>
      <c r="AC93" s="168"/>
      <c r="AD93" s="57">
        <v>317</v>
      </c>
      <c r="AE93" s="166"/>
      <c r="AF93" s="168"/>
      <c r="AG93" s="57">
        <v>0</v>
      </c>
      <c r="AH93" s="166"/>
      <c r="AI93" s="171"/>
      <c r="AJ93" s="57">
        <v>0</v>
      </c>
      <c r="AK93" s="166"/>
      <c r="AL93" s="171"/>
      <c r="AM93" s="57" t="s">
        <v>47</v>
      </c>
      <c r="AN93" s="166"/>
      <c r="AO93" s="171"/>
      <c r="AP93" s="57" t="s">
        <v>47</v>
      </c>
      <c r="AQ93" s="166"/>
      <c r="AR93" s="171"/>
      <c r="AS93" s="57" t="s">
        <v>47</v>
      </c>
      <c r="AT93" s="166"/>
      <c r="AU93" s="171"/>
      <c r="AV93" s="57" t="s">
        <v>47</v>
      </c>
      <c r="AW93" s="166"/>
      <c r="AX93" s="171"/>
      <c r="AY93" s="57" t="s">
        <v>47</v>
      </c>
      <c r="AZ93" s="166"/>
    </row>
    <row r="94" spans="1:58" s="61" customFormat="1" ht="76.5" x14ac:dyDescent="0.25">
      <c r="A94" s="169" t="s">
        <v>145</v>
      </c>
      <c r="B94" s="60" t="s">
        <v>146</v>
      </c>
      <c r="C94" s="57">
        <v>22502.400000000001</v>
      </c>
      <c r="D94" s="165">
        <f>+C94/C95</f>
        <v>8.1993878443375614</v>
      </c>
      <c r="E94" s="58"/>
      <c r="F94" s="57">
        <v>1971</v>
      </c>
      <c r="G94" s="165">
        <f>+F94/F95</f>
        <v>7.69921875</v>
      </c>
      <c r="H94" s="58"/>
      <c r="I94" s="57">
        <v>3277</v>
      </c>
      <c r="J94" s="165">
        <f>+I94/I95</f>
        <v>16.467336683417084</v>
      </c>
      <c r="K94" s="58"/>
      <c r="L94" s="57">
        <v>423</v>
      </c>
      <c r="M94" s="165">
        <f>+L94/L95</f>
        <v>3.0431654676258995</v>
      </c>
      <c r="N94" s="167"/>
      <c r="O94" s="57">
        <v>1430</v>
      </c>
      <c r="P94" s="165">
        <f>+O94/O95</f>
        <v>8.8271604938271597</v>
      </c>
      <c r="Q94" s="167"/>
      <c r="R94" s="57">
        <v>1150</v>
      </c>
      <c r="S94" s="165">
        <f>+R94/R95</f>
        <v>7.232704402515723</v>
      </c>
      <c r="T94" s="167"/>
      <c r="U94" s="57">
        <v>1714</v>
      </c>
      <c r="V94" s="165">
        <f>+U94/U95</f>
        <v>8.009345794392523</v>
      </c>
      <c r="W94" s="167"/>
      <c r="X94" s="57">
        <v>1550</v>
      </c>
      <c r="Y94" s="165">
        <f>+X94/X95</f>
        <v>6.4049586776859506</v>
      </c>
      <c r="Z94" s="167"/>
      <c r="AA94" s="57">
        <v>1245</v>
      </c>
      <c r="AB94" s="165">
        <f>+AA94/AA95</f>
        <v>6.4175257731958766</v>
      </c>
      <c r="AC94" s="167"/>
      <c r="AD94" s="57">
        <v>2193</v>
      </c>
      <c r="AE94" s="165">
        <f>+AD94/AD95</f>
        <v>8.3384030418250958</v>
      </c>
      <c r="AF94" s="167"/>
      <c r="AG94" s="57">
        <v>2099</v>
      </c>
      <c r="AH94" s="165">
        <f>+AG94/AG95</f>
        <v>8.8565400843881861</v>
      </c>
      <c r="AI94" s="167"/>
      <c r="AJ94" s="57">
        <v>2796</v>
      </c>
      <c r="AK94" s="165">
        <f>+AJ94/AJ95</f>
        <v>11.007874015748031</v>
      </c>
      <c r="AL94" s="167"/>
      <c r="AM94" s="57">
        <v>2772</v>
      </c>
      <c r="AN94" s="165">
        <f>+AM94/AM95</f>
        <v>10.043478260869565</v>
      </c>
      <c r="AO94" s="167"/>
      <c r="AP94" s="57">
        <v>2187</v>
      </c>
      <c r="AQ94" s="165">
        <f>+AP94/AP95</f>
        <v>8.926530612244898</v>
      </c>
      <c r="AR94" s="167"/>
      <c r="AS94" s="57">
        <v>2206</v>
      </c>
      <c r="AT94" s="165">
        <f>+AS94/AS95</f>
        <v>9.3872340425531906</v>
      </c>
      <c r="AU94" s="167"/>
      <c r="AV94" s="57">
        <v>1289</v>
      </c>
      <c r="AW94" s="165">
        <f>+AV94/AV95</f>
        <v>8.5933333333333337</v>
      </c>
      <c r="AX94" s="167"/>
      <c r="AY94" s="57">
        <v>705</v>
      </c>
      <c r="AZ94" s="165">
        <f>+AY94/AY95</f>
        <v>7.833333333333333</v>
      </c>
      <c r="BA94" s="61">
        <f>+AJ94+AM94+AP94+AS94+AV94+AY94</f>
        <v>11955</v>
      </c>
      <c r="BB94" s="61">
        <f>+BA94/BA95</f>
        <v>9.5640000000000001</v>
      </c>
      <c r="BC94" s="61">
        <f>+R94+U94+X94+AA94+AD94+AG94</f>
        <v>9951</v>
      </c>
      <c r="BD94" s="61">
        <f>+BC94/BC95</f>
        <v>7.6019862490450727</v>
      </c>
      <c r="BE94" s="61">
        <f>+BA94+BC94</f>
        <v>21906</v>
      </c>
      <c r="BF94" s="61">
        <f>+BE94/BE95</f>
        <v>8.5603751465416185</v>
      </c>
    </row>
    <row r="95" spans="1:58" s="61" customFormat="1" ht="38.25" x14ac:dyDescent="0.25">
      <c r="A95" s="169"/>
      <c r="B95" s="60" t="s">
        <v>147</v>
      </c>
      <c r="C95" s="57">
        <v>2744.3999999999996</v>
      </c>
      <c r="D95" s="166"/>
      <c r="E95" s="58"/>
      <c r="F95" s="57">
        <v>256</v>
      </c>
      <c r="G95" s="166"/>
      <c r="H95" s="58"/>
      <c r="I95" s="57">
        <v>199</v>
      </c>
      <c r="J95" s="166"/>
      <c r="K95" s="58"/>
      <c r="L95" s="57">
        <v>139</v>
      </c>
      <c r="M95" s="166"/>
      <c r="N95" s="168"/>
      <c r="O95" s="57">
        <v>162</v>
      </c>
      <c r="P95" s="166"/>
      <c r="Q95" s="168"/>
      <c r="R95" s="57">
        <v>159</v>
      </c>
      <c r="S95" s="166"/>
      <c r="T95" s="168"/>
      <c r="U95" s="57">
        <v>214</v>
      </c>
      <c r="V95" s="166"/>
      <c r="W95" s="168"/>
      <c r="X95" s="57">
        <v>242</v>
      </c>
      <c r="Y95" s="166"/>
      <c r="Z95" s="168"/>
      <c r="AA95" s="57">
        <v>194</v>
      </c>
      <c r="AB95" s="166"/>
      <c r="AC95" s="168"/>
      <c r="AD95" s="57">
        <v>263</v>
      </c>
      <c r="AE95" s="166"/>
      <c r="AF95" s="168"/>
      <c r="AG95" s="57">
        <v>237</v>
      </c>
      <c r="AH95" s="166"/>
      <c r="AI95" s="168"/>
      <c r="AJ95" s="57">
        <v>254</v>
      </c>
      <c r="AK95" s="166"/>
      <c r="AL95" s="168"/>
      <c r="AM95" s="57">
        <v>276</v>
      </c>
      <c r="AN95" s="166"/>
      <c r="AO95" s="168"/>
      <c r="AP95" s="57">
        <v>245</v>
      </c>
      <c r="AQ95" s="166"/>
      <c r="AR95" s="168"/>
      <c r="AS95" s="57">
        <v>235</v>
      </c>
      <c r="AT95" s="166"/>
      <c r="AU95" s="168"/>
      <c r="AV95" s="57">
        <v>150</v>
      </c>
      <c r="AW95" s="166"/>
      <c r="AX95" s="168"/>
      <c r="AY95" s="57">
        <v>90</v>
      </c>
      <c r="AZ95" s="166"/>
      <c r="BA95" s="61">
        <f>+AJ95+AM95+AP95+AS95+AV95+AY95</f>
        <v>1250</v>
      </c>
      <c r="BC95" s="61">
        <f>+R95+U95+X95+AA95+AD95+AG95</f>
        <v>1309</v>
      </c>
      <c r="BE95" s="61">
        <f>+BA95+BC95</f>
        <v>2559</v>
      </c>
    </row>
    <row r="96" spans="1:58" ht="63.75" x14ac:dyDescent="0.25">
      <c r="A96" s="146" t="s">
        <v>148</v>
      </c>
      <c r="B96" s="54" t="s">
        <v>149</v>
      </c>
      <c r="C96" s="37">
        <v>3120</v>
      </c>
      <c r="D96" s="147">
        <f>+C96/C97</f>
        <v>0.68003487358326065</v>
      </c>
      <c r="E96" s="21"/>
      <c r="F96" s="38">
        <v>211</v>
      </c>
      <c r="G96" s="149">
        <f>+F96/F97</f>
        <v>0.28360215053763443</v>
      </c>
      <c r="H96" s="23"/>
      <c r="I96" s="39">
        <v>332</v>
      </c>
      <c r="J96" s="151">
        <f>+I96/I97</f>
        <v>0.46239554317548748</v>
      </c>
      <c r="K96" s="25"/>
      <c r="L96" s="40"/>
      <c r="M96" s="153" t="e">
        <f>+L96/L97</f>
        <v>#DIV/0!</v>
      </c>
      <c r="N96" s="155"/>
      <c r="O96" s="41">
        <v>368</v>
      </c>
      <c r="P96" s="157">
        <f>+O96/O97</f>
        <v>0.49001331557922767</v>
      </c>
      <c r="Q96" s="159"/>
      <c r="R96" s="42">
        <v>468</v>
      </c>
      <c r="S96" s="142">
        <f>+R96/R97</f>
        <v>0.48197734294541711</v>
      </c>
      <c r="T96" s="144"/>
      <c r="U96" s="42">
        <v>309</v>
      </c>
      <c r="V96" s="142">
        <f>+U96/U97</f>
        <v>0.39163498098859317</v>
      </c>
      <c r="W96" s="144"/>
      <c r="X96" s="42">
        <v>309</v>
      </c>
      <c r="Y96" s="142">
        <f>+X96/X97</f>
        <v>0.36098130841121495</v>
      </c>
      <c r="Z96" s="144"/>
      <c r="AA96" s="42">
        <v>309</v>
      </c>
      <c r="AB96" s="142">
        <f>+AA96/AA97</f>
        <v>0.36098130841121495</v>
      </c>
      <c r="AC96" s="144"/>
      <c r="AD96" s="42">
        <v>309</v>
      </c>
      <c r="AE96" s="142">
        <f>+AD96/AD97</f>
        <v>0.36098130841121495</v>
      </c>
      <c r="AF96" s="144"/>
      <c r="AG96" s="42">
        <f>+AG97*(2.48/2)</f>
        <v>1030.44</v>
      </c>
      <c r="AH96" s="142">
        <f>+AG96/AG97</f>
        <v>1.24</v>
      </c>
      <c r="AI96" s="144"/>
      <c r="AJ96" s="42">
        <f>+AJ97*1.09</f>
        <v>1018.0600000000001</v>
      </c>
      <c r="AK96" s="142">
        <f>+AJ96/AJ97</f>
        <v>1.0900000000000001</v>
      </c>
      <c r="AL96" s="144"/>
      <c r="AM96" s="43">
        <v>345</v>
      </c>
      <c r="AN96" s="142">
        <f>+AM96/AM97</f>
        <v>0.36050156739811912</v>
      </c>
      <c r="AO96" s="144"/>
      <c r="AP96" s="43">
        <v>205</v>
      </c>
      <c r="AQ96" s="142">
        <f>+AP96/AP97</f>
        <v>0.26214833759590794</v>
      </c>
      <c r="AR96" s="144"/>
      <c r="AS96" s="43">
        <v>292</v>
      </c>
      <c r="AT96" s="142">
        <f>+AS96/AS97</f>
        <v>0.34844868735083534</v>
      </c>
      <c r="AU96" s="144"/>
      <c r="AV96" s="43">
        <v>526</v>
      </c>
      <c r="AW96" s="142">
        <f>+AV96/AV97</f>
        <v>0.73980309423347401</v>
      </c>
      <c r="AX96" s="144"/>
      <c r="AY96" s="43">
        <v>420</v>
      </c>
      <c r="AZ96" s="142">
        <f>+AY96/AY97</f>
        <v>0.67524115755627012</v>
      </c>
    </row>
    <row r="97" spans="1:52" ht="25.5" x14ac:dyDescent="0.25">
      <c r="A97" s="146"/>
      <c r="B97" s="54" t="s">
        <v>150</v>
      </c>
      <c r="C97" s="20">
        <v>4588</v>
      </c>
      <c r="D97" s="148"/>
      <c r="E97" s="21"/>
      <c r="F97" s="22">
        <v>744</v>
      </c>
      <c r="G97" s="150"/>
      <c r="H97" s="23"/>
      <c r="I97" s="24">
        <v>718</v>
      </c>
      <c r="J97" s="152"/>
      <c r="K97" s="25"/>
      <c r="L97" s="26"/>
      <c r="M97" s="154"/>
      <c r="N97" s="156"/>
      <c r="O97" s="27">
        <v>751</v>
      </c>
      <c r="P97" s="158"/>
      <c r="Q97" s="160"/>
      <c r="R97" s="28">
        <v>971</v>
      </c>
      <c r="S97" s="143"/>
      <c r="T97" s="145"/>
      <c r="U97" s="28">
        <v>789</v>
      </c>
      <c r="V97" s="143"/>
      <c r="W97" s="145"/>
      <c r="X97" s="28">
        <v>856</v>
      </c>
      <c r="Y97" s="143"/>
      <c r="Z97" s="145"/>
      <c r="AA97" s="28">
        <v>856</v>
      </c>
      <c r="AB97" s="143"/>
      <c r="AC97" s="145"/>
      <c r="AD97" s="28">
        <v>856</v>
      </c>
      <c r="AE97" s="143"/>
      <c r="AF97" s="145"/>
      <c r="AG97" s="28">
        <v>831</v>
      </c>
      <c r="AH97" s="143"/>
      <c r="AI97" s="145"/>
      <c r="AJ97" s="28">
        <v>934</v>
      </c>
      <c r="AK97" s="143"/>
      <c r="AL97" s="145"/>
      <c r="AM97" s="36">
        <v>957</v>
      </c>
      <c r="AN97" s="143"/>
      <c r="AO97" s="145"/>
      <c r="AP97" s="36">
        <v>782</v>
      </c>
      <c r="AQ97" s="143"/>
      <c r="AR97" s="145"/>
      <c r="AS97" s="36">
        <v>838</v>
      </c>
      <c r="AT97" s="143"/>
      <c r="AU97" s="145"/>
      <c r="AV97" s="36">
        <v>711</v>
      </c>
      <c r="AW97" s="143"/>
      <c r="AX97" s="145"/>
      <c r="AY97" s="36">
        <v>622</v>
      </c>
      <c r="AZ97" s="143"/>
    </row>
    <row r="98" spans="1:52" ht="76.5" x14ac:dyDescent="0.25">
      <c r="A98" s="146" t="s">
        <v>151</v>
      </c>
      <c r="B98" s="54" t="s">
        <v>152</v>
      </c>
      <c r="C98" s="20">
        <f>+C99*4</f>
        <v>824</v>
      </c>
      <c r="D98" s="147">
        <f>+C98/C99</f>
        <v>4</v>
      </c>
      <c r="E98" s="21"/>
      <c r="F98" s="22">
        <v>0</v>
      </c>
      <c r="G98" s="149" t="e">
        <f>+F98/F99</f>
        <v>#DIV/0!</v>
      </c>
      <c r="H98" s="23"/>
      <c r="I98" s="24">
        <v>0</v>
      </c>
      <c r="J98" s="151" t="e">
        <f>+I98/I99</f>
        <v>#DIV/0!</v>
      </c>
      <c r="K98" s="25"/>
      <c r="L98" s="26"/>
      <c r="M98" s="153" t="e">
        <f>+L98/L99</f>
        <v>#DIV/0!</v>
      </c>
      <c r="N98" s="155"/>
      <c r="O98" s="27">
        <v>0</v>
      </c>
      <c r="P98" s="157">
        <v>0</v>
      </c>
      <c r="Q98" s="159"/>
      <c r="R98" s="28">
        <v>0</v>
      </c>
      <c r="S98" s="142">
        <v>0</v>
      </c>
      <c r="T98" s="163" t="s">
        <v>175</v>
      </c>
      <c r="U98" s="28">
        <v>0</v>
      </c>
      <c r="V98" s="142">
        <v>0</v>
      </c>
      <c r="W98" s="163" t="s">
        <v>175</v>
      </c>
      <c r="X98" s="28">
        <v>0</v>
      </c>
      <c r="Y98" s="142">
        <v>0</v>
      </c>
      <c r="Z98" s="163" t="s">
        <v>175</v>
      </c>
      <c r="AA98" s="28">
        <v>0</v>
      </c>
      <c r="AB98" s="142">
        <v>0</v>
      </c>
      <c r="AC98" s="163"/>
      <c r="AD98" s="28">
        <v>0</v>
      </c>
      <c r="AE98" s="142">
        <v>0</v>
      </c>
      <c r="AF98" s="163"/>
      <c r="AG98" s="28">
        <v>0</v>
      </c>
      <c r="AH98" s="142">
        <v>0</v>
      </c>
      <c r="AI98" s="163"/>
      <c r="AJ98" s="28">
        <v>0</v>
      </c>
      <c r="AK98" s="142">
        <v>0</v>
      </c>
      <c r="AL98" s="163"/>
      <c r="AM98" s="36">
        <v>0</v>
      </c>
      <c r="AN98" s="142">
        <v>0</v>
      </c>
      <c r="AO98" s="163" t="s">
        <v>196</v>
      </c>
      <c r="AP98" s="36">
        <v>0</v>
      </c>
      <c r="AQ98" s="142">
        <v>0</v>
      </c>
      <c r="AR98" s="163" t="s">
        <v>196</v>
      </c>
      <c r="AS98" s="36">
        <v>0</v>
      </c>
      <c r="AT98" s="142">
        <v>0</v>
      </c>
      <c r="AU98" s="163" t="s">
        <v>196</v>
      </c>
      <c r="AV98" s="36">
        <v>0</v>
      </c>
      <c r="AW98" s="142">
        <v>0</v>
      </c>
      <c r="AX98" s="163" t="s">
        <v>196</v>
      </c>
      <c r="AY98" s="36">
        <v>0</v>
      </c>
      <c r="AZ98" s="142">
        <v>0</v>
      </c>
    </row>
    <row r="99" spans="1:52" ht="25.5" x14ac:dyDescent="0.25">
      <c r="A99" s="146"/>
      <c r="B99" s="54" t="s">
        <v>153</v>
      </c>
      <c r="C99" s="20">
        <v>206</v>
      </c>
      <c r="D99" s="148"/>
      <c r="E99" s="21"/>
      <c r="F99" s="22">
        <v>0</v>
      </c>
      <c r="G99" s="150"/>
      <c r="H99" s="23"/>
      <c r="I99" s="24">
        <v>0</v>
      </c>
      <c r="J99" s="152"/>
      <c r="K99" s="25"/>
      <c r="L99" s="26"/>
      <c r="M99" s="154"/>
      <c r="N99" s="156"/>
      <c r="O99" s="27">
        <v>0</v>
      </c>
      <c r="P99" s="158"/>
      <c r="Q99" s="160"/>
      <c r="R99" s="28">
        <v>0</v>
      </c>
      <c r="S99" s="143"/>
      <c r="T99" s="164"/>
      <c r="U99" s="28">
        <v>0</v>
      </c>
      <c r="V99" s="143"/>
      <c r="W99" s="164"/>
      <c r="X99" s="28">
        <v>0</v>
      </c>
      <c r="Y99" s="143"/>
      <c r="Z99" s="164"/>
      <c r="AA99" s="28">
        <v>0</v>
      </c>
      <c r="AB99" s="143"/>
      <c r="AC99" s="164"/>
      <c r="AD99" s="28">
        <v>0</v>
      </c>
      <c r="AE99" s="143"/>
      <c r="AF99" s="164"/>
      <c r="AG99" s="28">
        <v>0</v>
      </c>
      <c r="AH99" s="143"/>
      <c r="AI99" s="164"/>
      <c r="AJ99" s="28">
        <v>0</v>
      </c>
      <c r="AK99" s="143"/>
      <c r="AL99" s="164"/>
      <c r="AM99" s="36">
        <v>0</v>
      </c>
      <c r="AN99" s="143"/>
      <c r="AO99" s="164"/>
      <c r="AP99" s="36">
        <v>0</v>
      </c>
      <c r="AQ99" s="143"/>
      <c r="AR99" s="164"/>
      <c r="AS99" s="36">
        <v>0</v>
      </c>
      <c r="AT99" s="143"/>
      <c r="AU99" s="164"/>
      <c r="AV99" s="36">
        <v>0</v>
      </c>
      <c r="AW99" s="143"/>
      <c r="AX99" s="164"/>
      <c r="AY99" s="36">
        <v>0</v>
      </c>
      <c r="AZ99" s="143"/>
    </row>
    <row r="100" spans="1:52" ht="89.25" x14ac:dyDescent="0.25">
      <c r="A100" s="146" t="s">
        <v>154</v>
      </c>
      <c r="B100" s="54" t="s">
        <v>155</v>
      </c>
      <c r="C100" s="29">
        <f>41*6829</f>
        <v>279989</v>
      </c>
      <c r="D100" s="147">
        <f>+C100/C101</f>
        <v>41</v>
      </c>
      <c r="E100" s="21"/>
      <c r="F100" s="30">
        <v>34020</v>
      </c>
      <c r="G100" s="149">
        <f>+F100/F101</f>
        <v>28</v>
      </c>
      <c r="H100" s="23"/>
      <c r="I100" s="31">
        <v>67896</v>
      </c>
      <c r="J100" s="151">
        <f>+I100/I101</f>
        <v>69</v>
      </c>
      <c r="K100" s="25"/>
      <c r="L100" s="32">
        <f>+L101*76</f>
        <v>82156</v>
      </c>
      <c r="M100" s="153">
        <f>+L100/L101</f>
        <v>76</v>
      </c>
      <c r="N100" s="155"/>
      <c r="O100" s="33">
        <f>+O101*73</f>
        <v>78548</v>
      </c>
      <c r="P100" s="157">
        <f>+O100/O101</f>
        <v>73</v>
      </c>
      <c r="Q100" s="159"/>
      <c r="R100" s="34">
        <v>78548</v>
      </c>
      <c r="S100" s="142">
        <f>+R100/R101</f>
        <v>56.428160919540232</v>
      </c>
      <c r="T100" s="144"/>
      <c r="U100" s="34">
        <f>+U101*40</f>
        <v>49440</v>
      </c>
      <c r="V100" s="142">
        <f>+U100/U101</f>
        <v>40</v>
      </c>
      <c r="W100" s="144"/>
      <c r="X100" s="34">
        <f>+X101*29</f>
        <v>39817</v>
      </c>
      <c r="Y100" s="142">
        <f>+X100/X101</f>
        <v>29</v>
      </c>
      <c r="Z100" s="144"/>
      <c r="AA100" s="34">
        <f>+AA101*30</f>
        <v>34740</v>
      </c>
      <c r="AB100" s="142">
        <f>+AA100/AA101</f>
        <v>30</v>
      </c>
      <c r="AC100" s="144"/>
      <c r="AD100" s="34">
        <f>+AD101*28</f>
        <v>36288</v>
      </c>
      <c r="AE100" s="142">
        <f>+AD100/AD101</f>
        <v>28</v>
      </c>
      <c r="AF100" s="144"/>
      <c r="AG100" s="34">
        <f>+AG101*70</f>
        <v>74900</v>
      </c>
      <c r="AH100" s="142">
        <f>+AG100/AG101</f>
        <v>70</v>
      </c>
      <c r="AI100" s="144"/>
      <c r="AJ100" s="34">
        <f>+AJ101*89</f>
        <v>89089</v>
      </c>
      <c r="AK100" s="142">
        <f>+AJ100/AJ101</f>
        <v>89</v>
      </c>
      <c r="AL100" s="144"/>
      <c r="AM100" s="35">
        <v>1443</v>
      </c>
      <c r="AN100" s="142">
        <f>+AM100/AM101</f>
        <v>1.4301288404360752</v>
      </c>
      <c r="AO100" s="144"/>
      <c r="AP100" s="35">
        <v>76178</v>
      </c>
      <c r="AQ100" s="142">
        <f>+AP100/AP101</f>
        <v>82</v>
      </c>
      <c r="AR100" s="144"/>
      <c r="AS100" s="35">
        <v>43050</v>
      </c>
      <c r="AT100" s="142">
        <f>+AS100/AS101</f>
        <v>50</v>
      </c>
      <c r="AU100" s="144"/>
      <c r="AV100" s="35">
        <f>+AV101*73</f>
        <v>55115</v>
      </c>
      <c r="AW100" s="142">
        <f>+AV100/AV101</f>
        <v>73</v>
      </c>
      <c r="AX100" s="144"/>
      <c r="AY100" s="35">
        <f>+AY101*66</f>
        <v>48444</v>
      </c>
      <c r="AZ100" s="142">
        <f>+AY100/AY101</f>
        <v>66</v>
      </c>
    </row>
    <row r="101" spans="1:52" ht="38.25" x14ac:dyDescent="0.25">
      <c r="A101" s="146"/>
      <c r="B101" s="54" t="s">
        <v>156</v>
      </c>
      <c r="C101" s="29">
        <v>6829</v>
      </c>
      <c r="D101" s="148"/>
      <c r="E101" s="21"/>
      <c r="F101" s="30">
        <v>1215</v>
      </c>
      <c r="G101" s="150"/>
      <c r="H101" s="23"/>
      <c r="I101" s="31">
        <v>984</v>
      </c>
      <c r="J101" s="152"/>
      <c r="K101" s="25"/>
      <c r="L101" s="32">
        <v>1081</v>
      </c>
      <c r="M101" s="154"/>
      <c r="N101" s="156"/>
      <c r="O101" s="33">
        <v>1076</v>
      </c>
      <c r="P101" s="158"/>
      <c r="Q101" s="160"/>
      <c r="R101" s="34">
        <v>1392</v>
      </c>
      <c r="S101" s="143"/>
      <c r="T101" s="145"/>
      <c r="U101" s="34">
        <v>1236</v>
      </c>
      <c r="V101" s="143"/>
      <c r="W101" s="145"/>
      <c r="X101" s="34">
        <v>1373</v>
      </c>
      <c r="Y101" s="143"/>
      <c r="Z101" s="145"/>
      <c r="AA101" s="34">
        <v>1158</v>
      </c>
      <c r="AB101" s="143"/>
      <c r="AC101" s="145"/>
      <c r="AD101" s="34">
        <v>1296</v>
      </c>
      <c r="AE101" s="143"/>
      <c r="AF101" s="145"/>
      <c r="AG101" s="34">
        <v>1070</v>
      </c>
      <c r="AH101" s="143"/>
      <c r="AI101" s="145"/>
      <c r="AJ101" s="34">
        <v>1001</v>
      </c>
      <c r="AK101" s="143"/>
      <c r="AL101" s="145"/>
      <c r="AM101" s="35">
        <v>1009</v>
      </c>
      <c r="AN101" s="143"/>
      <c r="AO101" s="145"/>
      <c r="AP101" s="35">
        <v>929</v>
      </c>
      <c r="AQ101" s="143"/>
      <c r="AR101" s="145"/>
      <c r="AS101" s="35">
        <v>861</v>
      </c>
      <c r="AT101" s="143"/>
      <c r="AU101" s="145"/>
      <c r="AV101" s="35">
        <v>755</v>
      </c>
      <c r="AW101" s="143"/>
      <c r="AX101" s="145"/>
      <c r="AY101" s="35">
        <v>734</v>
      </c>
      <c r="AZ101" s="143"/>
    </row>
    <row r="102" spans="1:52" ht="76.5" x14ac:dyDescent="0.25">
      <c r="A102" s="146" t="s">
        <v>157</v>
      </c>
      <c r="B102" s="54" t="s">
        <v>158</v>
      </c>
      <c r="C102" s="37">
        <v>466</v>
      </c>
      <c r="D102" s="147">
        <f>+C102/C103</f>
        <v>8.7924528301886795</v>
      </c>
      <c r="E102" s="21"/>
      <c r="F102" s="38">
        <v>16</v>
      </c>
      <c r="G102" s="149">
        <f>+F102/F103</f>
        <v>16</v>
      </c>
      <c r="H102" s="23"/>
      <c r="I102" s="39">
        <v>40</v>
      </c>
      <c r="J102" s="151">
        <f>+I102/I103</f>
        <v>10</v>
      </c>
      <c r="K102" s="25"/>
      <c r="L102" s="40">
        <f>25*L103</f>
        <v>200</v>
      </c>
      <c r="M102" s="153">
        <f>+L102/L103</f>
        <v>25</v>
      </c>
      <c r="N102" s="155"/>
      <c r="O102" s="41">
        <f>+O103*42</f>
        <v>672</v>
      </c>
      <c r="P102" s="157">
        <f>+O102/O103</f>
        <v>42</v>
      </c>
      <c r="Q102" s="159"/>
      <c r="R102" s="42">
        <v>52</v>
      </c>
      <c r="S102" s="142">
        <f>+R102/R103</f>
        <v>10.4</v>
      </c>
      <c r="T102" s="144"/>
      <c r="U102" s="42">
        <v>115</v>
      </c>
      <c r="V102" s="142">
        <f>+U102/U103</f>
        <v>8.8461538461538467</v>
      </c>
      <c r="W102" s="144"/>
      <c r="X102" s="42">
        <f>13.2*X103</f>
        <v>105.6</v>
      </c>
      <c r="Y102" s="142">
        <f>+X102/X103</f>
        <v>13.2</v>
      </c>
      <c r="Z102" s="144"/>
      <c r="AA102" s="42">
        <f>11*AA103</f>
        <v>11</v>
      </c>
      <c r="AB102" s="161">
        <f>+AA102/AA103</f>
        <v>11</v>
      </c>
      <c r="AC102" s="144"/>
      <c r="AD102" s="42">
        <f>14*AD103</f>
        <v>98</v>
      </c>
      <c r="AE102" s="142">
        <f>+AD102/AD103</f>
        <v>14</v>
      </c>
      <c r="AF102" s="144"/>
      <c r="AG102" s="42">
        <f>+AG103*23</f>
        <v>161</v>
      </c>
      <c r="AH102" s="142">
        <f>+AG102/AG103</f>
        <v>23</v>
      </c>
      <c r="AI102" s="144"/>
      <c r="AJ102" s="42">
        <f>+AJ103*20</f>
        <v>220</v>
      </c>
      <c r="AK102" s="142">
        <f>+AJ102/AJ103</f>
        <v>20</v>
      </c>
      <c r="AL102" s="144"/>
      <c r="AM102" s="43">
        <v>173</v>
      </c>
      <c r="AN102" s="142">
        <f>+AM102/AM103</f>
        <v>86.5</v>
      </c>
      <c r="AO102" s="144"/>
      <c r="AP102" s="43">
        <v>54</v>
      </c>
      <c r="AQ102" s="142">
        <f>+AP102/AP103</f>
        <v>18</v>
      </c>
      <c r="AR102" s="144"/>
      <c r="AS102" s="43">
        <v>37</v>
      </c>
      <c r="AT102" s="142">
        <f>+AS102/AS103</f>
        <v>12.333333333333334</v>
      </c>
      <c r="AU102" s="144"/>
      <c r="AV102" s="43"/>
      <c r="AW102" s="142" t="e">
        <f>+AV102/AV103</f>
        <v>#DIV/0!</v>
      </c>
      <c r="AX102" s="144"/>
      <c r="AY102" s="43"/>
      <c r="AZ102" s="142" t="e">
        <f>+AY102/AY103</f>
        <v>#DIV/0!</v>
      </c>
    </row>
    <row r="103" spans="1:52" ht="25.5" x14ac:dyDescent="0.25">
      <c r="A103" s="146"/>
      <c r="B103" s="54" t="s">
        <v>159</v>
      </c>
      <c r="C103" s="20">
        <v>53</v>
      </c>
      <c r="D103" s="148"/>
      <c r="E103" s="21"/>
      <c r="F103" s="22">
        <v>1</v>
      </c>
      <c r="G103" s="150"/>
      <c r="H103" s="23"/>
      <c r="I103" s="24">
        <v>4</v>
      </c>
      <c r="J103" s="152"/>
      <c r="K103" s="25"/>
      <c r="L103" s="26">
        <v>8</v>
      </c>
      <c r="M103" s="154"/>
      <c r="N103" s="156"/>
      <c r="O103" s="27">
        <v>16</v>
      </c>
      <c r="P103" s="158"/>
      <c r="Q103" s="160"/>
      <c r="R103" s="28">
        <v>5</v>
      </c>
      <c r="S103" s="143"/>
      <c r="T103" s="145"/>
      <c r="U103" s="28">
        <v>13</v>
      </c>
      <c r="V103" s="143"/>
      <c r="W103" s="145"/>
      <c r="X103" s="28">
        <v>8</v>
      </c>
      <c r="Y103" s="143"/>
      <c r="Z103" s="145"/>
      <c r="AA103" s="28">
        <v>1</v>
      </c>
      <c r="AB103" s="162"/>
      <c r="AC103" s="145"/>
      <c r="AD103" s="28">
        <v>7</v>
      </c>
      <c r="AE103" s="143"/>
      <c r="AF103" s="145"/>
      <c r="AG103" s="28">
        <v>7</v>
      </c>
      <c r="AH103" s="143"/>
      <c r="AI103" s="145"/>
      <c r="AJ103" s="28">
        <v>11</v>
      </c>
      <c r="AK103" s="143"/>
      <c r="AL103" s="145"/>
      <c r="AM103" s="36">
        <v>2</v>
      </c>
      <c r="AN103" s="143"/>
      <c r="AO103" s="145"/>
      <c r="AP103" s="36">
        <v>3</v>
      </c>
      <c r="AQ103" s="143"/>
      <c r="AR103" s="145"/>
      <c r="AS103" s="36">
        <v>3</v>
      </c>
      <c r="AT103" s="143"/>
      <c r="AU103" s="145"/>
      <c r="AV103" s="36"/>
      <c r="AW103" s="143"/>
      <c r="AX103" s="145"/>
      <c r="AY103" s="36"/>
      <c r="AZ103" s="143"/>
    </row>
    <row r="104" spans="1:52" ht="76.5" x14ac:dyDescent="0.25">
      <c r="A104" s="146" t="s">
        <v>160</v>
      </c>
      <c r="B104" s="54" t="s">
        <v>161</v>
      </c>
      <c r="C104" s="20">
        <v>0</v>
      </c>
      <c r="D104" s="147">
        <v>0</v>
      </c>
      <c r="E104" s="21"/>
      <c r="F104" s="22">
        <v>0</v>
      </c>
      <c r="G104" s="149">
        <v>0</v>
      </c>
      <c r="H104" s="23"/>
      <c r="I104" s="24">
        <v>0</v>
      </c>
      <c r="J104" s="151">
        <v>0</v>
      </c>
      <c r="K104" s="25"/>
      <c r="L104" s="26">
        <v>0</v>
      </c>
      <c r="M104" s="153">
        <v>0</v>
      </c>
      <c r="N104" s="155"/>
      <c r="O104" s="27">
        <v>0</v>
      </c>
      <c r="P104" s="157">
        <v>0</v>
      </c>
      <c r="Q104" s="159"/>
      <c r="R104" s="28">
        <v>0</v>
      </c>
      <c r="S104" s="142">
        <v>0</v>
      </c>
      <c r="T104" s="144"/>
      <c r="U104" s="28">
        <v>0</v>
      </c>
      <c r="V104" s="142">
        <v>0</v>
      </c>
      <c r="W104" s="144"/>
      <c r="X104" s="28">
        <v>0</v>
      </c>
      <c r="Y104" s="142">
        <v>0</v>
      </c>
      <c r="Z104" s="144"/>
      <c r="AA104" s="28">
        <v>0</v>
      </c>
      <c r="AB104" s="142">
        <v>0</v>
      </c>
      <c r="AC104" s="144"/>
      <c r="AD104" s="28">
        <v>0</v>
      </c>
      <c r="AE104" s="142">
        <v>0</v>
      </c>
      <c r="AF104" s="144"/>
      <c r="AG104" s="28">
        <v>0</v>
      </c>
      <c r="AH104" s="142">
        <v>0</v>
      </c>
      <c r="AI104" s="144"/>
      <c r="AJ104" s="28">
        <v>0</v>
      </c>
      <c r="AK104" s="142">
        <v>0</v>
      </c>
      <c r="AL104" s="144"/>
      <c r="AM104" s="36">
        <v>0</v>
      </c>
      <c r="AN104" s="142">
        <v>0</v>
      </c>
      <c r="AO104" s="144"/>
      <c r="AP104" s="36">
        <v>0</v>
      </c>
      <c r="AQ104" s="142">
        <v>0</v>
      </c>
      <c r="AR104" s="144"/>
      <c r="AS104" s="36">
        <v>0</v>
      </c>
      <c r="AT104" s="142">
        <v>0</v>
      </c>
      <c r="AU104" s="144"/>
      <c r="AV104" s="36">
        <v>3</v>
      </c>
      <c r="AW104" s="142">
        <f>+AV104/AV105</f>
        <v>1</v>
      </c>
      <c r="AX104" s="144"/>
      <c r="AY104" s="36">
        <v>2</v>
      </c>
      <c r="AZ104" s="142">
        <f>+AY104/AY105</f>
        <v>1</v>
      </c>
    </row>
    <row r="105" spans="1:52" ht="38.25" x14ac:dyDescent="0.25">
      <c r="A105" s="146"/>
      <c r="B105" s="54" t="s">
        <v>162</v>
      </c>
      <c r="C105" s="20">
        <v>0</v>
      </c>
      <c r="D105" s="148"/>
      <c r="E105" s="21"/>
      <c r="F105" s="22">
        <v>0</v>
      </c>
      <c r="G105" s="150"/>
      <c r="H105" s="23"/>
      <c r="I105" s="24">
        <v>0</v>
      </c>
      <c r="J105" s="152"/>
      <c r="K105" s="25"/>
      <c r="L105" s="26">
        <v>0</v>
      </c>
      <c r="M105" s="154"/>
      <c r="N105" s="156"/>
      <c r="O105" s="27">
        <v>0</v>
      </c>
      <c r="P105" s="158"/>
      <c r="Q105" s="160"/>
      <c r="R105" s="28">
        <v>0</v>
      </c>
      <c r="S105" s="143"/>
      <c r="T105" s="145"/>
      <c r="U105" s="28">
        <v>0</v>
      </c>
      <c r="V105" s="143"/>
      <c r="W105" s="145"/>
      <c r="X105" s="28">
        <v>0</v>
      </c>
      <c r="Y105" s="143"/>
      <c r="Z105" s="145"/>
      <c r="AA105" s="28">
        <v>0</v>
      </c>
      <c r="AB105" s="143"/>
      <c r="AC105" s="145"/>
      <c r="AD105" s="28">
        <v>0</v>
      </c>
      <c r="AE105" s="143"/>
      <c r="AF105" s="145"/>
      <c r="AG105" s="28">
        <v>0</v>
      </c>
      <c r="AH105" s="143"/>
      <c r="AI105" s="145"/>
      <c r="AJ105" s="28">
        <v>0</v>
      </c>
      <c r="AK105" s="143"/>
      <c r="AL105" s="145"/>
      <c r="AM105" s="36">
        <v>0</v>
      </c>
      <c r="AN105" s="143"/>
      <c r="AO105" s="145"/>
      <c r="AP105" s="36">
        <v>0</v>
      </c>
      <c r="AQ105" s="143"/>
      <c r="AR105" s="145"/>
      <c r="AS105" s="36">
        <v>0</v>
      </c>
      <c r="AT105" s="143"/>
      <c r="AU105" s="145"/>
      <c r="AV105" s="36">
        <v>3</v>
      </c>
      <c r="AW105" s="143"/>
      <c r="AX105" s="145"/>
      <c r="AY105" s="36">
        <v>2</v>
      </c>
      <c r="AZ105" s="143"/>
    </row>
    <row r="106" spans="1:52" ht="89.25" x14ac:dyDescent="0.25">
      <c r="A106" s="146" t="s">
        <v>163</v>
      </c>
      <c r="B106" s="54" t="s">
        <v>164</v>
      </c>
      <c r="C106" s="20">
        <v>0</v>
      </c>
      <c r="D106" s="147">
        <v>0</v>
      </c>
      <c r="E106" s="21"/>
      <c r="F106" s="22">
        <v>0</v>
      </c>
      <c r="G106" s="149">
        <v>0</v>
      </c>
      <c r="H106" s="23"/>
      <c r="I106" s="24">
        <v>0</v>
      </c>
      <c r="J106" s="151">
        <v>0</v>
      </c>
      <c r="K106" s="25"/>
      <c r="L106" s="26">
        <v>0</v>
      </c>
      <c r="M106" s="153">
        <v>0</v>
      </c>
      <c r="N106" s="155"/>
      <c r="O106" s="27">
        <v>0</v>
      </c>
      <c r="P106" s="157">
        <v>0</v>
      </c>
      <c r="Q106" s="159"/>
      <c r="R106" s="28">
        <v>0</v>
      </c>
      <c r="S106" s="142">
        <v>0</v>
      </c>
      <c r="T106" s="144"/>
      <c r="U106" s="28">
        <v>0</v>
      </c>
      <c r="V106" s="142">
        <v>0</v>
      </c>
      <c r="W106" s="144"/>
      <c r="X106" s="28">
        <v>0</v>
      </c>
      <c r="Y106" s="142">
        <v>0</v>
      </c>
      <c r="Z106" s="144"/>
      <c r="AA106" s="28">
        <v>0</v>
      </c>
      <c r="AB106" s="142">
        <v>0</v>
      </c>
      <c r="AC106" s="144"/>
      <c r="AD106" s="28">
        <v>0</v>
      </c>
      <c r="AE106" s="142">
        <v>0</v>
      </c>
      <c r="AF106" s="144"/>
      <c r="AG106" s="28">
        <v>0</v>
      </c>
      <c r="AH106" s="142">
        <v>0</v>
      </c>
      <c r="AI106" s="144"/>
      <c r="AJ106" s="28">
        <v>0</v>
      </c>
      <c r="AK106" s="142">
        <v>0</v>
      </c>
      <c r="AL106" s="144"/>
      <c r="AM106" s="36">
        <v>0</v>
      </c>
      <c r="AN106" s="142">
        <v>0</v>
      </c>
      <c r="AO106" s="144"/>
      <c r="AP106" s="36">
        <v>0</v>
      </c>
      <c r="AQ106" s="142">
        <v>0</v>
      </c>
      <c r="AR106" s="144"/>
      <c r="AS106" s="36">
        <v>0</v>
      </c>
      <c r="AT106" s="142">
        <v>0</v>
      </c>
      <c r="AU106" s="144"/>
      <c r="AV106" s="36">
        <v>0</v>
      </c>
      <c r="AW106" s="142">
        <v>0</v>
      </c>
      <c r="AX106" s="144"/>
      <c r="AY106" s="36">
        <v>0</v>
      </c>
      <c r="AZ106" s="142">
        <v>0</v>
      </c>
    </row>
    <row r="107" spans="1:52" ht="25.5" x14ac:dyDescent="0.25">
      <c r="A107" s="146"/>
      <c r="B107" s="54" t="s">
        <v>165</v>
      </c>
      <c r="C107" s="20">
        <v>0</v>
      </c>
      <c r="D107" s="148"/>
      <c r="E107" s="21"/>
      <c r="F107" s="22">
        <v>0</v>
      </c>
      <c r="G107" s="150"/>
      <c r="H107" s="23"/>
      <c r="I107" s="24">
        <v>0</v>
      </c>
      <c r="J107" s="152"/>
      <c r="K107" s="25"/>
      <c r="L107" s="26">
        <v>0</v>
      </c>
      <c r="M107" s="154"/>
      <c r="N107" s="156"/>
      <c r="O107" s="27">
        <v>0</v>
      </c>
      <c r="P107" s="158"/>
      <c r="Q107" s="160"/>
      <c r="R107" s="28">
        <v>0</v>
      </c>
      <c r="S107" s="143"/>
      <c r="T107" s="145"/>
      <c r="U107" s="28">
        <v>0</v>
      </c>
      <c r="V107" s="143"/>
      <c r="W107" s="145"/>
      <c r="X107" s="28">
        <v>0</v>
      </c>
      <c r="Y107" s="143"/>
      <c r="Z107" s="145"/>
      <c r="AA107" s="28">
        <v>0</v>
      </c>
      <c r="AB107" s="143"/>
      <c r="AC107" s="145"/>
      <c r="AD107" s="28">
        <v>0</v>
      </c>
      <c r="AE107" s="143"/>
      <c r="AF107" s="145"/>
      <c r="AG107" s="28">
        <v>0</v>
      </c>
      <c r="AH107" s="143"/>
      <c r="AI107" s="145"/>
      <c r="AJ107" s="28">
        <v>0</v>
      </c>
      <c r="AK107" s="143"/>
      <c r="AL107" s="145"/>
      <c r="AM107" s="36">
        <v>0</v>
      </c>
      <c r="AN107" s="143"/>
      <c r="AO107" s="145"/>
      <c r="AP107" s="36">
        <v>0</v>
      </c>
      <c r="AQ107" s="143"/>
      <c r="AR107" s="145"/>
      <c r="AS107" s="36">
        <v>0</v>
      </c>
      <c r="AT107" s="143"/>
      <c r="AU107" s="145"/>
      <c r="AV107" s="36">
        <v>0</v>
      </c>
      <c r="AW107" s="143"/>
      <c r="AX107" s="145"/>
      <c r="AY107" s="36">
        <v>0</v>
      </c>
      <c r="AZ107" s="143"/>
    </row>
    <row r="108" spans="1:52" ht="89.25" x14ac:dyDescent="0.25">
      <c r="A108" s="146" t="s">
        <v>166</v>
      </c>
      <c r="B108" s="54" t="s">
        <v>167</v>
      </c>
      <c r="C108" s="29">
        <v>3918</v>
      </c>
      <c r="D108" s="147">
        <f>+C108/C109</f>
        <v>0.93463740458015265</v>
      </c>
      <c r="E108" s="21"/>
      <c r="F108" s="30">
        <v>688</v>
      </c>
      <c r="G108" s="149">
        <f>+F108/F109</f>
        <v>0.9662921348314607</v>
      </c>
      <c r="H108" s="23"/>
      <c r="I108" s="31">
        <v>388</v>
      </c>
      <c r="J108" s="151">
        <f>+I108/I109</f>
        <v>0.81341719077568131</v>
      </c>
      <c r="K108" s="25"/>
      <c r="L108" s="32">
        <v>604</v>
      </c>
      <c r="M108" s="153">
        <f>+L108/L109</f>
        <v>0.97419354838709682</v>
      </c>
      <c r="N108" s="155"/>
      <c r="O108" s="33"/>
      <c r="P108" s="157" t="e">
        <f>+O108/O109</f>
        <v>#DIV/0!</v>
      </c>
      <c r="Q108" s="159"/>
      <c r="R108" s="34">
        <v>605</v>
      </c>
      <c r="S108" s="142">
        <f>+R108/R109</f>
        <v>0.97580645161290325</v>
      </c>
      <c r="T108" s="144"/>
      <c r="U108" s="34">
        <v>236</v>
      </c>
      <c r="V108" s="142">
        <f>+U108/U109</f>
        <v>0.95161290322580649</v>
      </c>
      <c r="W108" s="144"/>
      <c r="X108" s="34">
        <v>428</v>
      </c>
      <c r="Y108" s="142">
        <f>+X108/X109</f>
        <v>0.97716894977168944</v>
      </c>
      <c r="Z108" s="144"/>
      <c r="AA108" s="34">
        <v>237</v>
      </c>
      <c r="AB108" s="142">
        <f>+AA108/AA109</f>
        <v>0.93675889328063244</v>
      </c>
      <c r="AC108" s="144"/>
      <c r="AD108" s="34">
        <f>172+42+12+15</f>
        <v>241</v>
      </c>
      <c r="AE108" s="142">
        <f>+AD108/AD109</f>
        <v>0.74613003095975228</v>
      </c>
      <c r="AF108" s="144"/>
      <c r="AG108" s="34">
        <f>69+84+37</f>
        <v>190</v>
      </c>
      <c r="AH108" s="142">
        <f>+AG108/AG109</f>
        <v>0.81196581196581197</v>
      </c>
      <c r="AI108" s="144"/>
      <c r="AJ108" s="34">
        <f>171+311+89+177</f>
        <v>748</v>
      </c>
      <c r="AK108" s="142">
        <f>+AJ108/AJ109</f>
        <v>0.85388127853881279</v>
      </c>
      <c r="AL108" s="144"/>
      <c r="AM108" s="35">
        <f>178+104+147+165</f>
        <v>594</v>
      </c>
      <c r="AN108" s="142">
        <f>+AM108/AM109</f>
        <v>0.90825688073394495</v>
      </c>
      <c r="AO108" s="144"/>
      <c r="AP108" s="35">
        <f>180+5+61</f>
        <v>246</v>
      </c>
      <c r="AQ108" s="142">
        <f>+AP108/AP109</f>
        <v>0.83389830508474572</v>
      </c>
      <c r="AR108" s="144"/>
      <c r="AS108" s="35">
        <f>28+115+232+33</f>
        <v>408</v>
      </c>
      <c r="AT108" s="142">
        <f>+AS108/AS109</f>
        <v>0.88695652173913042</v>
      </c>
      <c r="AU108" s="144"/>
      <c r="AV108" s="35">
        <f>6+43+35+43</f>
        <v>127</v>
      </c>
      <c r="AW108" s="142">
        <f>+AV108/AV109</f>
        <v>0.8141025641025641</v>
      </c>
      <c r="AX108" s="144"/>
      <c r="AY108" s="35"/>
      <c r="AZ108" s="142" t="e">
        <f>+AY108/AY109</f>
        <v>#DIV/0!</v>
      </c>
    </row>
    <row r="109" spans="1:52" ht="25.5" x14ac:dyDescent="0.25">
      <c r="A109" s="146"/>
      <c r="B109" s="54" t="s">
        <v>168</v>
      </c>
      <c r="C109" s="29">
        <v>4192</v>
      </c>
      <c r="D109" s="148"/>
      <c r="E109" s="21"/>
      <c r="F109" s="30">
        <v>712</v>
      </c>
      <c r="G109" s="150"/>
      <c r="H109" s="23"/>
      <c r="I109" s="31">
        <v>477</v>
      </c>
      <c r="J109" s="152"/>
      <c r="K109" s="25"/>
      <c r="L109" s="32">
        <v>620</v>
      </c>
      <c r="M109" s="154"/>
      <c r="N109" s="156"/>
      <c r="O109" s="33"/>
      <c r="P109" s="158"/>
      <c r="Q109" s="160"/>
      <c r="R109" s="34">
        <v>620</v>
      </c>
      <c r="S109" s="143"/>
      <c r="T109" s="145"/>
      <c r="U109" s="34">
        <v>248</v>
      </c>
      <c r="V109" s="143"/>
      <c r="W109" s="145"/>
      <c r="X109" s="34">
        <v>438</v>
      </c>
      <c r="Y109" s="143"/>
      <c r="Z109" s="145"/>
      <c r="AA109" s="34">
        <v>253</v>
      </c>
      <c r="AB109" s="143"/>
      <c r="AC109" s="145"/>
      <c r="AD109" s="34">
        <f>222+62+18+21</f>
        <v>323</v>
      </c>
      <c r="AE109" s="143"/>
      <c r="AF109" s="145"/>
      <c r="AG109" s="34">
        <f>75+108+51</f>
        <v>234</v>
      </c>
      <c r="AH109" s="143"/>
      <c r="AI109" s="145"/>
      <c r="AJ109" s="34">
        <f>217+378+92+189</f>
        <v>876</v>
      </c>
      <c r="AK109" s="143"/>
      <c r="AL109" s="145"/>
      <c r="AM109" s="35">
        <f>182+118+177+177</f>
        <v>654</v>
      </c>
      <c r="AN109" s="143"/>
      <c r="AO109" s="145"/>
      <c r="AP109" s="35">
        <f>204+5+86</f>
        <v>295</v>
      </c>
      <c r="AQ109" s="143"/>
      <c r="AR109" s="145"/>
      <c r="AS109" s="35">
        <f>34+134+254+38</f>
        <v>460</v>
      </c>
      <c r="AT109" s="143"/>
      <c r="AU109" s="145"/>
      <c r="AV109" s="35">
        <f>9+50+47+50</f>
        <v>156</v>
      </c>
      <c r="AW109" s="143"/>
      <c r="AX109" s="145"/>
      <c r="AY109" s="35"/>
      <c r="AZ109" s="143"/>
    </row>
    <row r="110" spans="1:52" ht="76.5" x14ac:dyDescent="0.25">
      <c r="A110" s="146" t="s">
        <v>169</v>
      </c>
      <c r="B110" s="54" t="s">
        <v>170</v>
      </c>
      <c r="C110" s="29">
        <v>3918</v>
      </c>
      <c r="D110" s="147">
        <f>+C110/C111</f>
        <v>0.93463740458015265</v>
      </c>
      <c r="E110" s="21"/>
      <c r="F110" s="30">
        <v>688</v>
      </c>
      <c r="G110" s="149">
        <f>+F110/F111</f>
        <v>0.9662921348314607</v>
      </c>
      <c r="H110" s="23"/>
      <c r="I110" s="31">
        <v>388</v>
      </c>
      <c r="J110" s="151">
        <f>+I110/I111</f>
        <v>0.81341719077568131</v>
      </c>
      <c r="K110" s="25"/>
      <c r="L110" s="32">
        <v>604</v>
      </c>
      <c r="M110" s="153">
        <f>+L110/L111</f>
        <v>0.97419354838709682</v>
      </c>
      <c r="N110" s="155"/>
      <c r="O110" s="33"/>
      <c r="P110" s="157" t="e">
        <f>+O110/O111</f>
        <v>#DIV/0!</v>
      </c>
      <c r="Q110" s="159"/>
      <c r="R110" s="34">
        <v>605</v>
      </c>
      <c r="S110" s="142">
        <f>+R110/R111</f>
        <v>0.97580645161290325</v>
      </c>
      <c r="T110" s="144"/>
      <c r="U110" s="34">
        <v>236</v>
      </c>
      <c r="V110" s="142">
        <f>+U110/U111</f>
        <v>0.95161290322580649</v>
      </c>
      <c r="W110" s="144"/>
      <c r="X110" s="34">
        <v>428</v>
      </c>
      <c r="Y110" s="142">
        <f>+X110/X111</f>
        <v>0.97716894977168944</v>
      </c>
      <c r="Z110" s="144"/>
      <c r="AA110" s="34">
        <v>237</v>
      </c>
      <c r="AB110" s="142">
        <f>+AA110/AA111</f>
        <v>0.93675889328063244</v>
      </c>
      <c r="AC110" s="144"/>
      <c r="AD110" s="34">
        <f>172+42+12+15</f>
        <v>241</v>
      </c>
      <c r="AE110" s="142">
        <f>+AD110/AD111</f>
        <v>0.74613003095975228</v>
      </c>
      <c r="AF110" s="144"/>
      <c r="AG110" s="34">
        <f>70+87+38</f>
        <v>195</v>
      </c>
      <c r="AH110" s="142">
        <f>+AG110/AG111</f>
        <v>0.83333333333333337</v>
      </c>
      <c r="AI110" s="144"/>
      <c r="AJ110" s="34">
        <f>173+318+89+180</f>
        <v>760</v>
      </c>
      <c r="AK110" s="142">
        <f>+AJ110/AJ111</f>
        <v>0.86757990867579904</v>
      </c>
      <c r="AL110" s="144"/>
      <c r="AM110" s="35">
        <f>179+107+140+171</f>
        <v>597</v>
      </c>
      <c r="AN110" s="142">
        <f>+AM110/AM111</f>
        <v>0.91284403669724767</v>
      </c>
      <c r="AO110" s="144"/>
      <c r="AP110" s="35">
        <f>180+5+61</f>
        <v>246</v>
      </c>
      <c r="AQ110" s="142">
        <f>+AP110/AP111</f>
        <v>0.83389830508474572</v>
      </c>
      <c r="AR110" s="144"/>
      <c r="AS110" s="35">
        <f>28+115+232+33</f>
        <v>408</v>
      </c>
      <c r="AT110" s="142">
        <f>+AS110/AS111</f>
        <v>0.88695652173913042</v>
      </c>
      <c r="AU110" s="144"/>
      <c r="AV110" s="35">
        <f>6+43+35+43</f>
        <v>127</v>
      </c>
      <c r="AW110" s="142">
        <f>+AV110/AV111</f>
        <v>0.8141025641025641</v>
      </c>
      <c r="AX110" s="144"/>
      <c r="AY110" s="35"/>
      <c r="AZ110" s="142" t="e">
        <f>+AY110/AY111</f>
        <v>#DIV/0!</v>
      </c>
    </row>
    <row r="111" spans="1:52" ht="25.5" x14ac:dyDescent="0.25">
      <c r="A111" s="146"/>
      <c r="B111" s="54" t="s">
        <v>168</v>
      </c>
      <c r="C111" s="29">
        <v>4192</v>
      </c>
      <c r="D111" s="148"/>
      <c r="E111" s="21"/>
      <c r="F111" s="30">
        <v>712</v>
      </c>
      <c r="G111" s="150"/>
      <c r="H111" s="23"/>
      <c r="I111" s="31">
        <v>477</v>
      </c>
      <c r="J111" s="152"/>
      <c r="K111" s="25"/>
      <c r="L111" s="32">
        <v>620</v>
      </c>
      <c r="M111" s="154"/>
      <c r="N111" s="156"/>
      <c r="O111" s="33"/>
      <c r="P111" s="158"/>
      <c r="Q111" s="160"/>
      <c r="R111" s="34">
        <v>620</v>
      </c>
      <c r="S111" s="143"/>
      <c r="T111" s="145"/>
      <c r="U111" s="34">
        <v>248</v>
      </c>
      <c r="V111" s="143"/>
      <c r="W111" s="145"/>
      <c r="X111" s="34">
        <v>438</v>
      </c>
      <c r="Y111" s="143"/>
      <c r="Z111" s="145"/>
      <c r="AA111" s="34">
        <v>253</v>
      </c>
      <c r="AB111" s="143"/>
      <c r="AC111" s="145"/>
      <c r="AD111" s="34">
        <f>222+62+18+21</f>
        <v>323</v>
      </c>
      <c r="AE111" s="143"/>
      <c r="AF111" s="145"/>
      <c r="AG111" s="34">
        <f>75+108+51</f>
        <v>234</v>
      </c>
      <c r="AH111" s="143"/>
      <c r="AI111" s="145"/>
      <c r="AJ111" s="34">
        <f>217+378+92+189</f>
        <v>876</v>
      </c>
      <c r="AK111" s="143"/>
      <c r="AL111" s="145"/>
      <c r="AM111" s="35">
        <f>182+118+177+177</f>
        <v>654</v>
      </c>
      <c r="AN111" s="143"/>
      <c r="AO111" s="145"/>
      <c r="AP111" s="35">
        <f>204+5+86</f>
        <v>295</v>
      </c>
      <c r="AQ111" s="143"/>
      <c r="AR111" s="145"/>
      <c r="AS111" s="35">
        <f>34+134+254+38</f>
        <v>460</v>
      </c>
      <c r="AT111" s="143"/>
      <c r="AU111" s="145"/>
      <c r="AV111" s="35">
        <f>9+50+47+50</f>
        <v>156</v>
      </c>
      <c r="AW111" s="143"/>
      <c r="AX111" s="145"/>
      <c r="AY111" s="35"/>
      <c r="AZ111" s="143"/>
    </row>
  </sheetData>
  <mergeCells count="1708">
    <mergeCell ref="T2:T3"/>
    <mergeCell ref="V2:V3"/>
    <mergeCell ref="A1:B1"/>
    <mergeCell ref="A2:A3"/>
    <mergeCell ref="D2:D3"/>
    <mergeCell ref="G2:G3"/>
    <mergeCell ref="J2:J3"/>
    <mergeCell ref="M2:M3"/>
    <mergeCell ref="AX2:AX3"/>
    <mergeCell ref="AZ2:AZ3"/>
    <mergeCell ref="A4:A5"/>
    <mergeCell ref="D4:D5"/>
    <mergeCell ref="G4:G5"/>
    <mergeCell ref="J4:J5"/>
    <mergeCell ref="M4:M5"/>
    <mergeCell ref="N4:N5"/>
    <mergeCell ref="P4:P5"/>
    <mergeCell ref="Q4:Q5"/>
    <mergeCell ref="AO2:AO3"/>
    <mergeCell ref="AQ2:AQ3"/>
    <mergeCell ref="AR2:AR3"/>
    <mergeCell ref="AT2:AT3"/>
    <mergeCell ref="AU2:AU3"/>
    <mergeCell ref="AW2:AW3"/>
    <mergeCell ref="AF2:AF3"/>
    <mergeCell ref="AH2:AH3"/>
    <mergeCell ref="AI2:AI3"/>
    <mergeCell ref="AK2:AK3"/>
    <mergeCell ref="AL2:AL3"/>
    <mergeCell ref="AN2:AN3"/>
    <mergeCell ref="W2:W3"/>
    <mergeCell ref="Y2:Y3"/>
    <mergeCell ref="Z2:Z3"/>
    <mergeCell ref="AB2:AB3"/>
    <mergeCell ref="AC2:AC3"/>
    <mergeCell ref="AE2:AE3"/>
    <mergeCell ref="N2:N3"/>
    <mergeCell ref="P2:P3"/>
    <mergeCell ref="Q2:Q3"/>
    <mergeCell ref="S2:S3"/>
    <mergeCell ref="T6:T7"/>
    <mergeCell ref="V6:V7"/>
    <mergeCell ref="AT4:AT5"/>
    <mergeCell ref="AU4:AU5"/>
    <mergeCell ref="AW4:AW5"/>
    <mergeCell ref="AX4:AX5"/>
    <mergeCell ref="AZ4:AZ5"/>
    <mergeCell ref="A6:A7"/>
    <mergeCell ref="D6:D7"/>
    <mergeCell ref="G6:G7"/>
    <mergeCell ref="J6:J7"/>
    <mergeCell ref="M6:M7"/>
    <mergeCell ref="AK4:AK5"/>
    <mergeCell ref="AL4:AL5"/>
    <mergeCell ref="AN4:AN5"/>
    <mergeCell ref="AO4:AO5"/>
    <mergeCell ref="AQ4:AQ5"/>
    <mergeCell ref="AR4:AR5"/>
    <mergeCell ref="AB4:AB5"/>
    <mergeCell ref="AC4:AC5"/>
    <mergeCell ref="AE4:AE5"/>
    <mergeCell ref="AF4:AF5"/>
    <mergeCell ref="AH4:AH5"/>
    <mergeCell ref="AI4:AI5"/>
    <mergeCell ref="S4:S5"/>
    <mergeCell ref="T4:T5"/>
    <mergeCell ref="V4:V5"/>
    <mergeCell ref="W4:W5"/>
    <mergeCell ref="Y4:Y5"/>
    <mergeCell ref="Z4:Z5"/>
    <mergeCell ref="AX6:AX7"/>
    <mergeCell ref="AZ6:AZ7"/>
    <mergeCell ref="A8:A9"/>
    <mergeCell ref="D8:D9"/>
    <mergeCell ref="G8:G9"/>
    <mergeCell ref="J8:J9"/>
    <mergeCell ref="M8:M9"/>
    <mergeCell ref="N8:N9"/>
    <mergeCell ref="P8:P9"/>
    <mergeCell ref="Q8:Q9"/>
    <mergeCell ref="AO6:AO7"/>
    <mergeCell ref="AQ6:AQ7"/>
    <mergeCell ref="AR6:AR7"/>
    <mergeCell ref="AT6:AT7"/>
    <mergeCell ref="AU6:AU7"/>
    <mergeCell ref="AW6:AW7"/>
    <mergeCell ref="AF6:AF7"/>
    <mergeCell ref="AH6:AH7"/>
    <mergeCell ref="AI6:AI7"/>
    <mergeCell ref="AK6:AK7"/>
    <mergeCell ref="AL6:AL7"/>
    <mergeCell ref="AN6:AN7"/>
    <mergeCell ref="W6:W7"/>
    <mergeCell ref="Y6:Y7"/>
    <mergeCell ref="Z6:Z7"/>
    <mergeCell ref="AB6:AB7"/>
    <mergeCell ref="AC6:AC7"/>
    <mergeCell ref="AE6:AE7"/>
    <mergeCell ref="N6:N7"/>
    <mergeCell ref="P6:P7"/>
    <mergeCell ref="Q6:Q7"/>
    <mergeCell ref="S6:S7"/>
    <mergeCell ref="T10:T11"/>
    <mergeCell ref="V10:V11"/>
    <mergeCell ref="AT8:AT9"/>
    <mergeCell ref="AU8:AU9"/>
    <mergeCell ref="AW8:AW9"/>
    <mergeCell ref="AX8:AX9"/>
    <mergeCell ref="AZ8:AZ9"/>
    <mergeCell ref="A10:A11"/>
    <mergeCell ref="D10:D11"/>
    <mergeCell ref="G10:G11"/>
    <mergeCell ref="J10:J11"/>
    <mergeCell ref="M10:M11"/>
    <mergeCell ref="AK8:AK9"/>
    <mergeCell ref="AL8:AL9"/>
    <mergeCell ref="AN8:AN9"/>
    <mergeCell ref="AO8:AO9"/>
    <mergeCell ref="AQ8:AQ9"/>
    <mergeCell ref="AR8:AR9"/>
    <mergeCell ref="AB8:AB9"/>
    <mergeCell ref="AC8:AC9"/>
    <mergeCell ref="AE8:AE9"/>
    <mergeCell ref="AF8:AF9"/>
    <mergeCell ref="AH8:AH9"/>
    <mergeCell ref="AI8:AI9"/>
    <mergeCell ref="S8:S9"/>
    <mergeCell ref="T8:T9"/>
    <mergeCell ref="V8:V9"/>
    <mergeCell ref="W8:W9"/>
    <mergeCell ref="Y8:Y9"/>
    <mergeCell ref="Z8:Z9"/>
    <mergeCell ref="AX10:AX11"/>
    <mergeCell ref="AZ10:AZ11"/>
    <mergeCell ref="A12:A13"/>
    <mergeCell ref="D12:D13"/>
    <mergeCell ref="G12:G13"/>
    <mergeCell ref="J12:J13"/>
    <mergeCell ref="M12:M13"/>
    <mergeCell ref="N12:N13"/>
    <mergeCell ref="P12:P13"/>
    <mergeCell ref="Q12:Q13"/>
    <mergeCell ref="AO10:AO11"/>
    <mergeCell ref="AQ10:AQ11"/>
    <mergeCell ref="AR10:AR11"/>
    <mergeCell ref="AT10:AT11"/>
    <mergeCell ref="AU10:AU11"/>
    <mergeCell ref="AW10:AW11"/>
    <mergeCell ref="AF10:AF11"/>
    <mergeCell ref="AH10:AH11"/>
    <mergeCell ref="AI10:AI11"/>
    <mergeCell ref="AK10:AK11"/>
    <mergeCell ref="AL10:AL11"/>
    <mergeCell ref="AN10:AN11"/>
    <mergeCell ref="W10:W11"/>
    <mergeCell ref="Y10:Y11"/>
    <mergeCell ref="Z10:Z11"/>
    <mergeCell ref="AB10:AB11"/>
    <mergeCell ref="AC10:AC11"/>
    <mergeCell ref="AE10:AE11"/>
    <mergeCell ref="N10:N11"/>
    <mergeCell ref="P10:P11"/>
    <mergeCell ref="Q10:Q11"/>
    <mergeCell ref="S10:S11"/>
    <mergeCell ref="T14:T15"/>
    <mergeCell ref="V14:V15"/>
    <mergeCell ref="AT12:AT13"/>
    <mergeCell ref="AU12:AU13"/>
    <mergeCell ref="AW12:AW13"/>
    <mergeCell ref="AX12:AX13"/>
    <mergeCell ref="AZ12:AZ13"/>
    <mergeCell ref="A14:A15"/>
    <mergeCell ref="D14:D15"/>
    <mergeCell ref="G14:G15"/>
    <mergeCell ref="J14:J15"/>
    <mergeCell ref="M14:M15"/>
    <mergeCell ref="AK12:AK13"/>
    <mergeCell ref="AL12:AL13"/>
    <mergeCell ref="AN12:AN13"/>
    <mergeCell ref="AO12:AO13"/>
    <mergeCell ref="AQ12:AQ13"/>
    <mergeCell ref="AR12:AR13"/>
    <mergeCell ref="AB12:AB13"/>
    <mergeCell ref="AC12:AC13"/>
    <mergeCell ref="AE12:AE13"/>
    <mergeCell ref="AF12:AF13"/>
    <mergeCell ref="AH12:AH13"/>
    <mergeCell ref="AI12:AI13"/>
    <mergeCell ref="S12:S13"/>
    <mergeCell ref="T12:T13"/>
    <mergeCell ref="V12:V13"/>
    <mergeCell ref="W12:W13"/>
    <mergeCell ref="Y12:Y13"/>
    <mergeCell ref="Z12:Z13"/>
    <mergeCell ref="AX14:AX15"/>
    <mergeCell ref="AZ14:AZ15"/>
    <mergeCell ref="A16:A17"/>
    <mergeCell ref="D16:D17"/>
    <mergeCell ref="G16:G17"/>
    <mergeCell ref="J16:J17"/>
    <mergeCell ref="M16:M17"/>
    <mergeCell ref="N16:N17"/>
    <mergeCell ref="P16:P17"/>
    <mergeCell ref="Q16:Q17"/>
    <mergeCell ref="AO14:AO15"/>
    <mergeCell ref="AQ14:AQ15"/>
    <mergeCell ref="AR14:AR15"/>
    <mergeCell ref="AT14:AT15"/>
    <mergeCell ref="AU14:AU15"/>
    <mergeCell ref="AW14:AW15"/>
    <mergeCell ref="AF14:AF15"/>
    <mergeCell ref="AH14:AH15"/>
    <mergeCell ref="AI14:AI15"/>
    <mergeCell ref="AK14:AK15"/>
    <mergeCell ref="AL14:AL15"/>
    <mergeCell ref="AN14:AN15"/>
    <mergeCell ref="W14:W15"/>
    <mergeCell ref="Y14:Y15"/>
    <mergeCell ref="Z14:Z15"/>
    <mergeCell ref="AB14:AB15"/>
    <mergeCell ref="AC14:AC15"/>
    <mergeCell ref="AE14:AE15"/>
    <mergeCell ref="N14:N15"/>
    <mergeCell ref="P14:P15"/>
    <mergeCell ref="Q14:Q15"/>
    <mergeCell ref="S14:S15"/>
    <mergeCell ref="T18:T19"/>
    <mergeCell ref="V18:V19"/>
    <mergeCell ref="AT16:AT17"/>
    <mergeCell ref="AU16:AU17"/>
    <mergeCell ref="AW16:AW17"/>
    <mergeCell ref="AX16:AX17"/>
    <mergeCell ref="AZ16:AZ17"/>
    <mergeCell ref="A18:A19"/>
    <mergeCell ref="D18:D19"/>
    <mergeCell ref="G18:G19"/>
    <mergeCell ref="J18:J19"/>
    <mergeCell ref="M18:M19"/>
    <mergeCell ref="AK16:AK17"/>
    <mergeCell ref="AL16:AL17"/>
    <mergeCell ref="AN16:AN17"/>
    <mergeCell ref="AO16:AO17"/>
    <mergeCell ref="AQ16:AQ17"/>
    <mergeCell ref="AR16:AR17"/>
    <mergeCell ref="AB16:AB17"/>
    <mergeCell ref="AC16:AC17"/>
    <mergeCell ref="AE16:AE17"/>
    <mergeCell ref="AF16:AF17"/>
    <mergeCell ref="AH16:AH17"/>
    <mergeCell ref="AI16:AI17"/>
    <mergeCell ref="S16:S17"/>
    <mergeCell ref="T16:T17"/>
    <mergeCell ref="V16:V17"/>
    <mergeCell ref="W16:W17"/>
    <mergeCell ref="Y16:Y17"/>
    <mergeCell ref="Z16:Z17"/>
    <mergeCell ref="AX18:AX19"/>
    <mergeCell ref="AZ18:AZ19"/>
    <mergeCell ref="A20:A21"/>
    <mergeCell ref="D20:D21"/>
    <mergeCell ref="G20:G21"/>
    <mergeCell ref="J20:J21"/>
    <mergeCell ref="M20:M21"/>
    <mergeCell ref="N20:N21"/>
    <mergeCell ref="P20:P21"/>
    <mergeCell ref="Q20:Q21"/>
    <mergeCell ref="AO18:AO19"/>
    <mergeCell ref="AQ18:AQ19"/>
    <mergeCell ref="AR18:AR19"/>
    <mergeCell ref="AT18:AT19"/>
    <mergeCell ref="AU18:AU19"/>
    <mergeCell ref="AW18:AW19"/>
    <mergeCell ref="AF18:AF19"/>
    <mergeCell ref="AH18:AH19"/>
    <mergeCell ref="AI18:AI19"/>
    <mergeCell ref="AK18:AK19"/>
    <mergeCell ref="AL18:AL19"/>
    <mergeCell ref="AN18:AN19"/>
    <mergeCell ref="W18:W19"/>
    <mergeCell ref="Y18:Y19"/>
    <mergeCell ref="Z18:Z19"/>
    <mergeCell ref="AB18:AB19"/>
    <mergeCell ref="AC18:AC19"/>
    <mergeCell ref="AE18:AE19"/>
    <mergeCell ref="N18:N19"/>
    <mergeCell ref="P18:P19"/>
    <mergeCell ref="Q18:Q19"/>
    <mergeCell ref="S18:S19"/>
    <mergeCell ref="AT20:AT21"/>
    <mergeCell ref="AU20:AU21"/>
    <mergeCell ref="AW20:AW21"/>
    <mergeCell ref="AX20:AX21"/>
    <mergeCell ref="AZ20:AZ21"/>
    <mergeCell ref="A22:A23"/>
    <mergeCell ref="D22:D23"/>
    <mergeCell ref="G22:G23"/>
    <mergeCell ref="J22:J23"/>
    <mergeCell ref="M22:M23"/>
    <mergeCell ref="AK20:AK21"/>
    <mergeCell ref="AL20:AL21"/>
    <mergeCell ref="AN20:AN21"/>
    <mergeCell ref="AO20:AO21"/>
    <mergeCell ref="AQ20:AQ21"/>
    <mergeCell ref="AR20:AR21"/>
    <mergeCell ref="AB20:AB21"/>
    <mergeCell ref="AC20:AC21"/>
    <mergeCell ref="AE20:AE21"/>
    <mergeCell ref="AF20:AF21"/>
    <mergeCell ref="AH20:AH21"/>
    <mergeCell ref="AI20:AI21"/>
    <mergeCell ref="S20:S21"/>
    <mergeCell ref="T20:T21"/>
    <mergeCell ref="V20:V21"/>
    <mergeCell ref="W20:W21"/>
    <mergeCell ref="Y20:Y21"/>
    <mergeCell ref="Z20:Z21"/>
    <mergeCell ref="AX22:AX23"/>
    <mergeCell ref="AZ22:AZ23"/>
    <mergeCell ref="N24:N25"/>
    <mergeCell ref="P24:P25"/>
    <mergeCell ref="Q24:Q25"/>
    <mergeCell ref="AO22:AO23"/>
    <mergeCell ref="AQ22:AQ23"/>
    <mergeCell ref="AR22:AR23"/>
    <mergeCell ref="AT22:AT23"/>
    <mergeCell ref="AU22:AU23"/>
    <mergeCell ref="AW22:AW23"/>
    <mergeCell ref="AF22:AF23"/>
    <mergeCell ref="AH22:AH23"/>
    <mergeCell ref="AI22:AI23"/>
    <mergeCell ref="AK22:AK23"/>
    <mergeCell ref="AL22:AL23"/>
    <mergeCell ref="AN22:AN23"/>
    <mergeCell ref="W22:W23"/>
    <mergeCell ref="Y22:Y23"/>
    <mergeCell ref="Z22:Z23"/>
    <mergeCell ref="AB22:AB23"/>
    <mergeCell ref="AC22:AC23"/>
    <mergeCell ref="AE22:AE23"/>
    <mergeCell ref="N22:N23"/>
    <mergeCell ref="P22:P23"/>
    <mergeCell ref="Q22:Q23"/>
    <mergeCell ref="S22:S23"/>
    <mergeCell ref="T22:T23"/>
    <mergeCell ref="V22:V23"/>
    <mergeCell ref="AT24:AT25"/>
    <mergeCell ref="AU24:AU25"/>
    <mergeCell ref="AW24:AW25"/>
    <mergeCell ref="AX24:AX25"/>
    <mergeCell ref="AZ24:AZ25"/>
    <mergeCell ref="A26:A27"/>
    <mergeCell ref="D26:D27"/>
    <mergeCell ref="G26:G27"/>
    <mergeCell ref="J26:J27"/>
    <mergeCell ref="M26:M27"/>
    <mergeCell ref="AK24:AK25"/>
    <mergeCell ref="AL24:AL25"/>
    <mergeCell ref="AN24:AN25"/>
    <mergeCell ref="AO24:AO25"/>
    <mergeCell ref="AQ24:AQ25"/>
    <mergeCell ref="AR24:AR25"/>
    <mergeCell ref="AB24:AB25"/>
    <mergeCell ref="AC24:AC25"/>
    <mergeCell ref="AE24:AE25"/>
    <mergeCell ref="AF24:AF25"/>
    <mergeCell ref="AH24:AH25"/>
    <mergeCell ref="AI24:AI25"/>
    <mergeCell ref="S24:S25"/>
    <mergeCell ref="T24:T25"/>
    <mergeCell ref="V24:V25"/>
    <mergeCell ref="W24:W25"/>
    <mergeCell ref="Y24:Y25"/>
    <mergeCell ref="Z24:Z25"/>
    <mergeCell ref="AX26:AX27"/>
    <mergeCell ref="AZ26:AZ27"/>
    <mergeCell ref="A24:A25"/>
    <mergeCell ref="D24:D25"/>
    <mergeCell ref="G24:G25"/>
    <mergeCell ref="J24:J25"/>
    <mergeCell ref="M24:M25"/>
    <mergeCell ref="N28:N29"/>
    <mergeCell ref="P28:P29"/>
    <mergeCell ref="Q28:Q29"/>
    <mergeCell ref="AO26:AO27"/>
    <mergeCell ref="AQ26:AQ27"/>
    <mergeCell ref="AR26:AR27"/>
    <mergeCell ref="AT26:AT27"/>
    <mergeCell ref="AU26:AU27"/>
    <mergeCell ref="AW26:AW27"/>
    <mergeCell ref="AF26:AF27"/>
    <mergeCell ref="AH26:AH27"/>
    <mergeCell ref="AI26:AI27"/>
    <mergeCell ref="AK26:AK27"/>
    <mergeCell ref="AL26:AL27"/>
    <mergeCell ref="AN26:AN27"/>
    <mergeCell ref="W26:W27"/>
    <mergeCell ref="Y26:Y27"/>
    <mergeCell ref="Z26:Z27"/>
    <mergeCell ref="AB26:AB27"/>
    <mergeCell ref="AC26:AC27"/>
    <mergeCell ref="AE26:AE27"/>
    <mergeCell ref="N26:N27"/>
    <mergeCell ref="P26:P27"/>
    <mergeCell ref="Q26:Q27"/>
    <mergeCell ref="S26:S27"/>
    <mergeCell ref="T26:T27"/>
    <mergeCell ref="V26:V27"/>
    <mergeCell ref="AT28:AT29"/>
    <mergeCell ref="AU28:AU29"/>
    <mergeCell ref="AW28:AW29"/>
    <mergeCell ref="AX28:AX29"/>
    <mergeCell ref="AZ28:AZ29"/>
    <mergeCell ref="A30:A31"/>
    <mergeCell ref="D30:D31"/>
    <mergeCell ref="G30:G31"/>
    <mergeCell ref="J30:J31"/>
    <mergeCell ref="M30:M31"/>
    <mergeCell ref="AK28:AK29"/>
    <mergeCell ref="AL28:AL29"/>
    <mergeCell ref="AN28:AN29"/>
    <mergeCell ref="AO28:AO29"/>
    <mergeCell ref="AQ28:AQ29"/>
    <mergeCell ref="AR28:AR29"/>
    <mergeCell ref="AB28:AB29"/>
    <mergeCell ref="AC28:AC29"/>
    <mergeCell ref="AE28:AE29"/>
    <mergeCell ref="AF28:AF29"/>
    <mergeCell ref="AH28:AH29"/>
    <mergeCell ref="AI28:AI29"/>
    <mergeCell ref="S28:S29"/>
    <mergeCell ref="T28:T29"/>
    <mergeCell ref="V28:V29"/>
    <mergeCell ref="W28:W29"/>
    <mergeCell ref="Y28:Y29"/>
    <mergeCell ref="Z28:Z29"/>
    <mergeCell ref="AX30:AX31"/>
    <mergeCell ref="AZ30:AZ31"/>
    <mergeCell ref="A28:A29"/>
    <mergeCell ref="D28:D29"/>
    <mergeCell ref="G28:G29"/>
    <mergeCell ref="J28:J29"/>
    <mergeCell ref="M28:M29"/>
    <mergeCell ref="N32:N33"/>
    <mergeCell ref="P32:P33"/>
    <mergeCell ref="Q32:Q33"/>
    <mergeCell ref="AO30:AO31"/>
    <mergeCell ref="AQ30:AQ31"/>
    <mergeCell ref="AR30:AR31"/>
    <mergeCell ref="AT30:AT31"/>
    <mergeCell ref="AU30:AU31"/>
    <mergeCell ref="AW30:AW31"/>
    <mergeCell ref="AF30:AF31"/>
    <mergeCell ref="AH30:AH31"/>
    <mergeCell ref="AI30:AI31"/>
    <mergeCell ref="AK30:AK31"/>
    <mergeCell ref="AL30:AL31"/>
    <mergeCell ref="AN30:AN31"/>
    <mergeCell ref="W30:W31"/>
    <mergeCell ref="Y30:Y31"/>
    <mergeCell ref="Z30:Z31"/>
    <mergeCell ref="AB30:AB31"/>
    <mergeCell ref="AC30:AC31"/>
    <mergeCell ref="AE30:AE31"/>
    <mergeCell ref="N30:N31"/>
    <mergeCell ref="P30:P31"/>
    <mergeCell ref="Q30:Q31"/>
    <mergeCell ref="S30:S31"/>
    <mergeCell ref="T30:T31"/>
    <mergeCell ref="V30:V31"/>
    <mergeCell ref="AT32:AT33"/>
    <mergeCell ref="AU32:AU33"/>
    <mergeCell ref="AW32:AW33"/>
    <mergeCell ref="AX32:AX33"/>
    <mergeCell ref="AZ32:AZ33"/>
    <mergeCell ref="A34:A35"/>
    <mergeCell ref="D34:D35"/>
    <mergeCell ref="G34:G35"/>
    <mergeCell ref="J34:J35"/>
    <mergeCell ref="M34:M35"/>
    <mergeCell ref="AK32:AK33"/>
    <mergeCell ref="AL32:AL33"/>
    <mergeCell ref="AN32:AN33"/>
    <mergeCell ref="AO32:AO33"/>
    <mergeCell ref="AQ32:AQ33"/>
    <mergeCell ref="AR32:AR33"/>
    <mergeCell ref="AB32:AB33"/>
    <mergeCell ref="AC32:AC33"/>
    <mergeCell ref="AE32:AE33"/>
    <mergeCell ref="AF32:AF33"/>
    <mergeCell ref="AH32:AH33"/>
    <mergeCell ref="AI32:AI33"/>
    <mergeCell ref="S32:S33"/>
    <mergeCell ref="T32:T33"/>
    <mergeCell ref="V32:V33"/>
    <mergeCell ref="W32:W33"/>
    <mergeCell ref="Y32:Y33"/>
    <mergeCell ref="Z32:Z33"/>
    <mergeCell ref="AX34:AX35"/>
    <mergeCell ref="AZ34:AZ35"/>
    <mergeCell ref="A32:A33"/>
    <mergeCell ref="D32:D33"/>
    <mergeCell ref="G32:G33"/>
    <mergeCell ref="J32:J33"/>
    <mergeCell ref="M32:M33"/>
    <mergeCell ref="N36:N37"/>
    <mergeCell ref="P36:P37"/>
    <mergeCell ref="Q36:Q37"/>
    <mergeCell ref="AO34:AO35"/>
    <mergeCell ref="AQ34:AQ35"/>
    <mergeCell ref="AR34:AR35"/>
    <mergeCell ref="AT34:AT35"/>
    <mergeCell ref="AU34:AU35"/>
    <mergeCell ref="AW34:AW35"/>
    <mergeCell ref="AF34:AF35"/>
    <mergeCell ref="AH34:AH35"/>
    <mergeCell ref="AI34:AI35"/>
    <mergeCell ref="AK34:AK35"/>
    <mergeCell ref="AL34:AL35"/>
    <mergeCell ref="AN34:AN35"/>
    <mergeCell ref="W34:W35"/>
    <mergeCell ref="Y34:Y35"/>
    <mergeCell ref="Z34:Z35"/>
    <mergeCell ref="AB34:AB35"/>
    <mergeCell ref="AC34:AC35"/>
    <mergeCell ref="AE34:AE35"/>
    <mergeCell ref="N34:N35"/>
    <mergeCell ref="P34:P35"/>
    <mergeCell ref="Q34:Q35"/>
    <mergeCell ref="S34:S35"/>
    <mergeCell ref="T34:T35"/>
    <mergeCell ref="V34:V35"/>
    <mergeCell ref="AT36:AT37"/>
    <mergeCell ref="AU36:AU37"/>
    <mergeCell ref="AW36:AW37"/>
    <mergeCell ref="AX36:AX37"/>
    <mergeCell ref="AZ36:AZ37"/>
    <mergeCell ref="A38:A39"/>
    <mergeCell ref="D38:D39"/>
    <mergeCell ref="G38:G39"/>
    <mergeCell ref="J38:J39"/>
    <mergeCell ref="M38:M39"/>
    <mergeCell ref="AK36:AK37"/>
    <mergeCell ref="AL36:AL37"/>
    <mergeCell ref="AN36:AN37"/>
    <mergeCell ref="AO36:AO37"/>
    <mergeCell ref="AQ36:AQ37"/>
    <mergeCell ref="AR36:AR37"/>
    <mergeCell ref="AB36:AB37"/>
    <mergeCell ref="AC36:AC37"/>
    <mergeCell ref="AE36:AE37"/>
    <mergeCell ref="AF36:AF37"/>
    <mergeCell ref="AH36:AH37"/>
    <mergeCell ref="AI36:AI37"/>
    <mergeCell ref="S36:S37"/>
    <mergeCell ref="T36:T37"/>
    <mergeCell ref="V36:V37"/>
    <mergeCell ref="W36:W37"/>
    <mergeCell ref="Y36:Y37"/>
    <mergeCell ref="Z36:Z37"/>
    <mergeCell ref="AX38:AX39"/>
    <mergeCell ref="AZ38:AZ39"/>
    <mergeCell ref="A36:A37"/>
    <mergeCell ref="D36:D37"/>
    <mergeCell ref="G36:G37"/>
    <mergeCell ref="J36:J37"/>
    <mergeCell ref="M36:M37"/>
    <mergeCell ref="N40:N41"/>
    <mergeCell ref="P40:P41"/>
    <mergeCell ref="Q40:Q41"/>
    <mergeCell ref="AO38:AO39"/>
    <mergeCell ref="AQ38:AQ39"/>
    <mergeCell ref="AR38:AR39"/>
    <mergeCell ref="AT38:AT39"/>
    <mergeCell ref="AU38:AU39"/>
    <mergeCell ref="AW38:AW39"/>
    <mergeCell ref="AF38:AF39"/>
    <mergeCell ref="AH38:AH39"/>
    <mergeCell ref="AI38:AI39"/>
    <mergeCell ref="AK38:AK39"/>
    <mergeCell ref="AL38:AL39"/>
    <mergeCell ref="AN38:AN39"/>
    <mergeCell ref="W38:W39"/>
    <mergeCell ref="Y38:Y39"/>
    <mergeCell ref="Z38:Z39"/>
    <mergeCell ref="AB38:AB39"/>
    <mergeCell ref="AC38:AC39"/>
    <mergeCell ref="AE38:AE39"/>
    <mergeCell ref="N38:N39"/>
    <mergeCell ref="P38:P39"/>
    <mergeCell ref="Q38:Q39"/>
    <mergeCell ref="S38:S39"/>
    <mergeCell ref="T38:T39"/>
    <mergeCell ref="V38:V39"/>
    <mergeCell ref="AT40:AT41"/>
    <mergeCell ref="AU40:AU41"/>
    <mergeCell ref="AW40:AW41"/>
    <mergeCell ref="AX40:AX41"/>
    <mergeCell ref="AZ40:AZ41"/>
    <mergeCell ref="A42:A43"/>
    <mergeCell ref="D42:D43"/>
    <mergeCell ref="G42:G43"/>
    <mergeCell ref="J42:J43"/>
    <mergeCell ref="M42:M43"/>
    <mergeCell ref="AK40:AK41"/>
    <mergeCell ref="AL40:AL41"/>
    <mergeCell ref="AN40:AN41"/>
    <mergeCell ref="AO40:AO41"/>
    <mergeCell ref="AQ40:AQ41"/>
    <mergeCell ref="AR40:AR41"/>
    <mergeCell ref="AB40:AB41"/>
    <mergeCell ref="AC40:AC41"/>
    <mergeCell ref="AE40:AE41"/>
    <mergeCell ref="AF40:AF41"/>
    <mergeCell ref="AH40:AH41"/>
    <mergeCell ref="AI40:AI41"/>
    <mergeCell ref="S40:S41"/>
    <mergeCell ref="T40:T41"/>
    <mergeCell ref="V40:V41"/>
    <mergeCell ref="W40:W41"/>
    <mergeCell ref="Y40:Y41"/>
    <mergeCell ref="Z40:Z41"/>
    <mergeCell ref="AX42:AX43"/>
    <mergeCell ref="AZ42:AZ43"/>
    <mergeCell ref="A40:A41"/>
    <mergeCell ref="D40:D41"/>
    <mergeCell ref="G40:G41"/>
    <mergeCell ref="J40:J41"/>
    <mergeCell ref="M40:M41"/>
    <mergeCell ref="N44:N45"/>
    <mergeCell ref="P44:P45"/>
    <mergeCell ref="Q44:Q45"/>
    <mergeCell ref="AO42:AO43"/>
    <mergeCell ref="AQ42:AQ43"/>
    <mergeCell ref="AR42:AR43"/>
    <mergeCell ref="AT42:AT43"/>
    <mergeCell ref="AU42:AU43"/>
    <mergeCell ref="AW42:AW43"/>
    <mergeCell ref="AF42:AF43"/>
    <mergeCell ref="AH42:AH43"/>
    <mergeCell ref="AI42:AI43"/>
    <mergeCell ref="AK42:AK43"/>
    <mergeCell ref="AL42:AL43"/>
    <mergeCell ref="AN42:AN43"/>
    <mergeCell ref="W42:W43"/>
    <mergeCell ref="Y42:Y43"/>
    <mergeCell ref="Z42:Z43"/>
    <mergeCell ref="AB42:AB43"/>
    <mergeCell ref="AC42:AC43"/>
    <mergeCell ref="AE42:AE43"/>
    <mergeCell ref="N42:N43"/>
    <mergeCell ref="P42:P43"/>
    <mergeCell ref="Q42:Q43"/>
    <mergeCell ref="S42:S43"/>
    <mergeCell ref="T42:T43"/>
    <mergeCell ref="V42:V43"/>
    <mergeCell ref="AT44:AT45"/>
    <mergeCell ref="AU44:AU45"/>
    <mergeCell ref="AW44:AW45"/>
    <mergeCell ref="AX44:AX45"/>
    <mergeCell ref="AZ44:AZ45"/>
    <mergeCell ref="A46:A47"/>
    <mergeCell ref="D46:D47"/>
    <mergeCell ref="G46:G47"/>
    <mergeCell ref="J46:J47"/>
    <mergeCell ref="M46:M47"/>
    <mergeCell ref="AK44:AK45"/>
    <mergeCell ref="AL44:AL45"/>
    <mergeCell ref="AN44:AN45"/>
    <mergeCell ref="AO44:AO45"/>
    <mergeCell ref="AQ44:AQ45"/>
    <mergeCell ref="AR44:AR45"/>
    <mergeCell ref="AB44:AB45"/>
    <mergeCell ref="AC44:AC45"/>
    <mergeCell ref="AE44:AE45"/>
    <mergeCell ref="AF44:AF45"/>
    <mergeCell ref="AH44:AH45"/>
    <mergeCell ref="AI44:AI45"/>
    <mergeCell ref="S44:S45"/>
    <mergeCell ref="T44:T45"/>
    <mergeCell ref="V44:V45"/>
    <mergeCell ref="W44:W45"/>
    <mergeCell ref="Y44:Y45"/>
    <mergeCell ref="Z44:Z45"/>
    <mergeCell ref="AX46:AX47"/>
    <mergeCell ref="AZ46:AZ47"/>
    <mergeCell ref="A44:A45"/>
    <mergeCell ref="D44:D45"/>
    <mergeCell ref="G44:G45"/>
    <mergeCell ref="J44:J45"/>
    <mergeCell ref="M44:M45"/>
    <mergeCell ref="N48:N49"/>
    <mergeCell ref="P48:P49"/>
    <mergeCell ref="Q48:Q49"/>
    <mergeCell ref="AO46:AO47"/>
    <mergeCell ref="AQ46:AQ47"/>
    <mergeCell ref="AR46:AR47"/>
    <mergeCell ref="AT46:AT47"/>
    <mergeCell ref="AU46:AU47"/>
    <mergeCell ref="AW46:AW47"/>
    <mergeCell ref="AF46:AF47"/>
    <mergeCell ref="AH46:AH47"/>
    <mergeCell ref="AI46:AI47"/>
    <mergeCell ref="AK46:AK47"/>
    <mergeCell ref="AL46:AL47"/>
    <mergeCell ref="AN46:AN47"/>
    <mergeCell ref="W46:W47"/>
    <mergeCell ref="Y46:Y47"/>
    <mergeCell ref="Z46:Z47"/>
    <mergeCell ref="AB46:AB47"/>
    <mergeCell ref="AC46:AC47"/>
    <mergeCell ref="AE46:AE47"/>
    <mergeCell ref="N46:N47"/>
    <mergeCell ref="P46:P47"/>
    <mergeCell ref="Q46:Q47"/>
    <mergeCell ref="S46:S47"/>
    <mergeCell ref="T46:T47"/>
    <mergeCell ref="V46:V47"/>
    <mergeCell ref="AT48:AT49"/>
    <mergeCell ref="AU48:AU49"/>
    <mergeCell ref="AW48:AW49"/>
    <mergeCell ref="AX48:AX49"/>
    <mergeCell ref="AZ48:AZ49"/>
    <mergeCell ref="A50:A51"/>
    <mergeCell ref="D50:D51"/>
    <mergeCell ref="G50:G51"/>
    <mergeCell ref="J50:J51"/>
    <mergeCell ref="M50:M51"/>
    <mergeCell ref="AK48:AK49"/>
    <mergeCell ref="AL48:AL49"/>
    <mergeCell ref="AN48:AN49"/>
    <mergeCell ref="AO48:AO49"/>
    <mergeCell ref="AQ48:AQ49"/>
    <mergeCell ref="AR48:AR49"/>
    <mergeCell ref="AB48:AB49"/>
    <mergeCell ref="AC48:AC49"/>
    <mergeCell ref="AE48:AE49"/>
    <mergeCell ref="AF48:AF49"/>
    <mergeCell ref="AH48:AH49"/>
    <mergeCell ref="AI48:AI49"/>
    <mergeCell ref="S48:S49"/>
    <mergeCell ref="T48:T49"/>
    <mergeCell ref="V48:V49"/>
    <mergeCell ref="W48:W49"/>
    <mergeCell ref="Y48:Y49"/>
    <mergeCell ref="Z48:Z49"/>
    <mergeCell ref="AX50:AX51"/>
    <mergeCell ref="AZ50:AZ51"/>
    <mergeCell ref="A48:A49"/>
    <mergeCell ref="D48:D49"/>
    <mergeCell ref="G48:G49"/>
    <mergeCell ref="J48:J49"/>
    <mergeCell ref="M48:M49"/>
    <mergeCell ref="N52:N53"/>
    <mergeCell ref="P52:P53"/>
    <mergeCell ref="Q52:Q53"/>
    <mergeCell ref="AO50:AO51"/>
    <mergeCell ref="AQ50:AQ51"/>
    <mergeCell ref="AR50:AR51"/>
    <mergeCell ref="AT50:AT51"/>
    <mergeCell ref="AU50:AU51"/>
    <mergeCell ref="AW50:AW51"/>
    <mergeCell ref="AF50:AF51"/>
    <mergeCell ref="AH50:AH51"/>
    <mergeCell ref="AI50:AI51"/>
    <mergeCell ref="AK50:AK51"/>
    <mergeCell ref="AL50:AL51"/>
    <mergeCell ref="AN50:AN51"/>
    <mergeCell ref="W50:W51"/>
    <mergeCell ref="Y50:Y51"/>
    <mergeCell ref="Z50:Z51"/>
    <mergeCell ref="AB50:AB51"/>
    <mergeCell ref="AC50:AC51"/>
    <mergeCell ref="AE50:AE51"/>
    <mergeCell ref="N50:N51"/>
    <mergeCell ref="P50:P51"/>
    <mergeCell ref="Q50:Q51"/>
    <mergeCell ref="S50:S51"/>
    <mergeCell ref="T50:T51"/>
    <mergeCell ref="V50:V51"/>
    <mergeCell ref="AT52:AT53"/>
    <mergeCell ref="AU52:AU53"/>
    <mergeCell ref="AW52:AW53"/>
    <mergeCell ref="AX52:AX53"/>
    <mergeCell ref="AZ52:AZ53"/>
    <mergeCell ref="A54:A55"/>
    <mergeCell ref="D54:D55"/>
    <mergeCell ref="G54:G55"/>
    <mergeCell ref="J54:J55"/>
    <mergeCell ref="M54:M55"/>
    <mergeCell ref="AK52:AK53"/>
    <mergeCell ref="AL52:AL53"/>
    <mergeCell ref="AN52:AN53"/>
    <mergeCell ref="AO52:AO53"/>
    <mergeCell ref="AQ52:AQ53"/>
    <mergeCell ref="AR52:AR53"/>
    <mergeCell ref="AB52:AB53"/>
    <mergeCell ref="AC52:AC53"/>
    <mergeCell ref="AE52:AE53"/>
    <mergeCell ref="AF52:AF53"/>
    <mergeCell ref="AH52:AH53"/>
    <mergeCell ref="AI52:AI53"/>
    <mergeCell ref="S52:S53"/>
    <mergeCell ref="T52:T53"/>
    <mergeCell ref="V52:V53"/>
    <mergeCell ref="W52:W53"/>
    <mergeCell ref="Y52:Y53"/>
    <mergeCell ref="Z52:Z53"/>
    <mergeCell ref="AX54:AX55"/>
    <mergeCell ref="AZ54:AZ55"/>
    <mergeCell ref="A52:A53"/>
    <mergeCell ref="D52:D53"/>
    <mergeCell ref="G52:G53"/>
    <mergeCell ref="J52:J53"/>
    <mergeCell ref="M52:M53"/>
    <mergeCell ref="N56:N57"/>
    <mergeCell ref="P56:P57"/>
    <mergeCell ref="Q56:Q57"/>
    <mergeCell ref="AO54:AO55"/>
    <mergeCell ref="AQ54:AQ55"/>
    <mergeCell ref="AR54:AR55"/>
    <mergeCell ref="AT54:AT55"/>
    <mergeCell ref="AU54:AU55"/>
    <mergeCell ref="AW54:AW55"/>
    <mergeCell ref="AF54:AF55"/>
    <mergeCell ref="AH54:AH55"/>
    <mergeCell ref="AI54:AI55"/>
    <mergeCell ref="AK54:AK55"/>
    <mergeCell ref="AL54:AL55"/>
    <mergeCell ref="AN54:AN55"/>
    <mergeCell ref="W54:W55"/>
    <mergeCell ref="Y54:Y55"/>
    <mergeCell ref="Z54:Z55"/>
    <mergeCell ref="AB54:AB55"/>
    <mergeCell ref="AC54:AC55"/>
    <mergeCell ref="AE54:AE55"/>
    <mergeCell ref="N54:N55"/>
    <mergeCell ref="P54:P55"/>
    <mergeCell ref="Q54:Q55"/>
    <mergeCell ref="S54:S55"/>
    <mergeCell ref="T54:T55"/>
    <mergeCell ref="V54:V55"/>
    <mergeCell ref="AT56:AT57"/>
    <mergeCell ref="AU56:AU57"/>
    <mergeCell ref="AW56:AW57"/>
    <mergeCell ref="AX56:AX57"/>
    <mergeCell ref="AZ56:AZ57"/>
    <mergeCell ref="A58:A59"/>
    <mergeCell ref="D58:D59"/>
    <mergeCell ref="G58:G59"/>
    <mergeCell ref="J58:J59"/>
    <mergeCell ref="M58:M59"/>
    <mergeCell ref="AK56:AK57"/>
    <mergeCell ref="AL56:AL57"/>
    <mergeCell ref="AN56:AN57"/>
    <mergeCell ref="AO56:AO57"/>
    <mergeCell ref="AQ56:AQ57"/>
    <mergeCell ref="AR56:AR57"/>
    <mergeCell ref="AB56:AB57"/>
    <mergeCell ref="AC56:AC57"/>
    <mergeCell ref="AE56:AE57"/>
    <mergeCell ref="AF56:AF57"/>
    <mergeCell ref="AH56:AH57"/>
    <mergeCell ref="AI56:AI57"/>
    <mergeCell ref="S56:S57"/>
    <mergeCell ref="T56:T57"/>
    <mergeCell ref="V56:V57"/>
    <mergeCell ref="W56:W57"/>
    <mergeCell ref="Y56:Y57"/>
    <mergeCell ref="Z56:Z57"/>
    <mergeCell ref="AX58:AX59"/>
    <mergeCell ref="AZ58:AZ59"/>
    <mergeCell ref="A56:A57"/>
    <mergeCell ref="D56:D57"/>
    <mergeCell ref="G56:G57"/>
    <mergeCell ref="J56:J57"/>
    <mergeCell ref="M56:M57"/>
    <mergeCell ref="N60:N61"/>
    <mergeCell ref="P60:P61"/>
    <mergeCell ref="Q60:Q61"/>
    <mergeCell ref="AO58:AO59"/>
    <mergeCell ref="AQ58:AQ59"/>
    <mergeCell ref="AR58:AR59"/>
    <mergeCell ref="AT58:AT59"/>
    <mergeCell ref="AU58:AU59"/>
    <mergeCell ref="AW58:AW59"/>
    <mergeCell ref="AF58:AF59"/>
    <mergeCell ref="AH58:AH59"/>
    <mergeCell ref="AI58:AI59"/>
    <mergeCell ref="AK58:AK59"/>
    <mergeCell ref="AL58:AL59"/>
    <mergeCell ref="AN58:AN59"/>
    <mergeCell ref="W58:W59"/>
    <mergeCell ref="Y58:Y59"/>
    <mergeCell ref="Z58:Z59"/>
    <mergeCell ref="AB58:AB59"/>
    <mergeCell ref="AC58:AC59"/>
    <mergeCell ref="AE58:AE59"/>
    <mergeCell ref="N58:N59"/>
    <mergeCell ref="P58:P59"/>
    <mergeCell ref="Q58:Q59"/>
    <mergeCell ref="S58:S59"/>
    <mergeCell ref="T58:T59"/>
    <mergeCell ref="V58:V59"/>
    <mergeCell ref="AT60:AT61"/>
    <mergeCell ref="AU60:AU61"/>
    <mergeCell ref="AW60:AW61"/>
    <mergeCell ref="AX60:AX61"/>
    <mergeCell ref="AZ60:AZ61"/>
    <mergeCell ref="A62:A63"/>
    <mergeCell ref="D62:D63"/>
    <mergeCell ref="G62:G63"/>
    <mergeCell ref="J62:J63"/>
    <mergeCell ref="M62:M63"/>
    <mergeCell ref="AK60:AK61"/>
    <mergeCell ref="AL60:AL61"/>
    <mergeCell ref="AN60:AN61"/>
    <mergeCell ref="AO60:AO61"/>
    <mergeCell ref="AQ60:AQ61"/>
    <mergeCell ref="AR60:AR61"/>
    <mergeCell ref="AB60:AB61"/>
    <mergeCell ref="AC60:AC61"/>
    <mergeCell ref="AE60:AE61"/>
    <mergeCell ref="AF60:AF61"/>
    <mergeCell ref="AH60:AH61"/>
    <mergeCell ref="AI60:AI61"/>
    <mergeCell ref="S60:S61"/>
    <mergeCell ref="T60:T61"/>
    <mergeCell ref="V60:V61"/>
    <mergeCell ref="W60:W61"/>
    <mergeCell ref="Y60:Y61"/>
    <mergeCell ref="Z60:Z61"/>
    <mergeCell ref="AX62:AX63"/>
    <mergeCell ref="AZ62:AZ63"/>
    <mergeCell ref="A60:A61"/>
    <mergeCell ref="D60:D61"/>
    <mergeCell ref="G60:G61"/>
    <mergeCell ref="J60:J61"/>
    <mergeCell ref="M60:M61"/>
    <mergeCell ref="N64:N65"/>
    <mergeCell ref="P64:P65"/>
    <mergeCell ref="Q64:Q65"/>
    <mergeCell ref="AO62:AO63"/>
    <mergeCell ref="AQ62:AQ63"/>
    <mergeCell ref="AR62:AR63"/>
    <mergeCell ref="AT62:AT63"/>
    <mergeCell ref="AU62:AU63"/>
    <mergeCell ref="AW62:AW63"/>
    <mergeCell ref="AF62:AF63"/>
    <mergeCell ref="AH62:AH63"/>
    <mergeCell ref="AI62:AI63"/>
    <mergeCell ref="AK62:AK63"/>
    <mergeCell ref="AL62:AL63"/>
    <mergeCell ref="AN62:AN63"/>
    <mergeCell ref="W62:W63"/>
    <mergeCell ref="Y62:Y63"/>
    <mergeCell ref="Z62:Z63"/>
    <mergeCell ref="AB62:AB63"/>
    <mergeCell ref="AC62:AC63"/>
    <mergeCell ref="AE62:AE63"/>
    <mergeCell ref="N62:N63"/>
    <mergeCell ref="P62:P63"/>
    <mergeCell ref="Q62:Q63"/>
    <mergeCell ref="S62:S63"/>
    <mergeCell ref="T62:T63"/>
    <mergeCell ref="V62:V63"/>
    <mergeCell ref="AT64:AT65"/>
    <mergeCell ref="AU64:AU65"/>
    <mergeCell ref="AW64:AW65"/>
    <mergeCell ref="AX64:AX65"/>
    <mergeCell ref="AZ64:AZ65"/>
    <mergeCell ref="A66:A67"/>
    <mergeCell ref="D66:D67"/>
    <mergeCell ref="G66:G67"/>
    <mergeCell ref="J66:J67"/>
    <mergeCell ref="M66:M67"/>
    <mergeCell ref="AK64:AK65"/>
    <mergeCell ref="AL64:AL65"/>
    <mergeCell ref="AN64:AN65"/>
    <mergeCell ref="AO64:AO65"/>
    <mergeCell ref="AQ64:AQ65"/>
    <mergeCell ref="AR64:AR65"/>
    <mergeCell ref="AB64:AB65"/>
    <mergeCell ref="AC64:AC65"/>
    <mergeCell ref="AE64:AE65"/>
    <mergeCell ref="AF64:AF65"/>
    <mergeCell ref="AH64:AH65"/>
    <mergeCell ref="AI64:AI65"/>
    <mergeCell ref="S64:S65"/>
    <mergeCell ref="T64:T65"/>
    <mergeCell ref="V64:V65"/>
    <mergeCell ref="W64:W65"/>
    <mergeCell ref="Y64:Y65"/>
    <mergeCell ref="Z64:Z65"/>
    <mergeCell ref="AX66:AX67"/>
    <mergeCell ref="AZ66:AZ67"/>
    <mergeCell ref="A64:A65"/>
    <mergeCell ref="D64:D65"/>
    <mergeCell ref="G64:G65"/>
    <mergeCell ref="J64:J65"/>
    <mergeCell ref="M64:M65"/>
    <mergeCell ref="N68:N69"/>
    <mergeCell ref="P68:P69"/>
    <mergeCell ref="Q68:Q69"/>
    <mergeCell ref="AO66:AO67"/>
    <mergeCell ref="AQ66:AQ67"/>
    <mergeCell ref="AR66:AR67"/>
    <mergeCell ref="AT66:AT67"/>
    <mergeCell ref="AU66:AU67"/>
    <mergeCell ref="AW66:AW67"/>
    <mergeCell ref="AF66:AF67"/>
    <mergeCell ref="AH66:AH67"/>
    <mergeCell ref="AI66:AI67"/>
    <mergeCell ref="AK66:AK67"/>
    <mergeCell ref="AL66:AL67"/>
    <mergeCell ref="AN66:AN67"/>
    <mergeCell ref="W66:W67"/>
    <mergeCell ref="Y66:Y67"/>
    <mergeCell ref="Z66:Z67"/>
    <mergeCell ref="AB66:AB67"/>
    <mergeCell ref="AC66:AC67"/>
    <mergeCell ref="AE66:AE67"/>
    <mergeCell ref="N66:N67"/>
    <mergeCell ref="P66:P67"/>
    <mergeCell ref="Q66:Q67"/>
    <mergeCell ref="S66:S67"/>
    <mergeCell ref="T66:T67"/>
    <mergeCell ref="V66:V67"/>
    <mergeCell ref="AT68:AT69"/>
    <mergeCell ref="AU68:AU69"/>
    <mergeCell ref="AW68:AW69"/>
    <mergeCell ref="AX68:AX69"/>
    <mergeCell ref="AZ68:AZ69"/>
    <mergeCell ref="A70:A71"/>
    <mergeCell ref="D70:D71"/>
    <mergeCell ref="G70:G71"/>
    <mergeCell ref="J70:J71"/>
    <mergeCell ref="M70:M71"/>
    <mergeCell ref="AK68:AK69"/>
    <mergeCell ref="AL68:AL69"/>
    <mergeCell ref="AN68:AN69"/>
    <mergeCell ref="AO68:AO69"/>
    <mergeCell ref="AQ68:AQ69"/>
    <mergeCell ref="AR68:AR69"/>
    <mergeCell ref="AB68:AB69"/>
    <mergeCell ref="AC68:AC69"/>
    <mergeCell ref="AE68:AE69"/>
    <mergeCell ref="AF68:AF69"/>
    <mergeCell ref="AH68:AH69"/>
    <mergeCell ref="AI68:AI69"/>
    <mergeCell ref="S68:S69"/>
    <mergeCell ref="T68:T69"/>
    <mergeCell ref="V68:V69"/>
    <mergeCell ref="W68:W69"/>
    <mergeCell ref="Y68:Y69"/>
    <mergeCell ref="Z68:Z69"/>
    <mergeCell ref="AX70:AX71"/>
    <mergeCell ref="AZ70:AZ71"/>
    <mergeCell ref="A68:A69"/>
    <mergeCell ref="D68:D69"/>
    <mergeCell ref="G68:G69"/>
    <mergeCell ref="J68:J69"/>
    <mergeCell ref="M68:M69"/>
    <mergeCell ref="N72:N73"/>
    <mergeCell ref="P72:P73"/>
    <mergeCell ref="Q72:Q73"/>
    <mergeCell ref="AO70:AO71"/>
    <mergeCell ref="AQ70:AQ71"/>
    <mergeCell ref="AR70:AR71"/>
    <mergeCell ref="AT70:AT71"/>
    <mergeCell ref="AU70:AU71"/>
    <mergeCell ref="AW70:AW71"/>
    <mergeCell ref="AF70:AF71"/>
    <mergeCell ref="AH70:AH71"/>
    <mergeCell ref="AI70:AI71"/>
    <mergeCell ref="AK70:AK71"/>
    <mergeCell ref="AL70:AL71"/>
    <mergeCell ref="AN70:AN71"/>
    <mergeCell ref="W70:W71"/>
    <mergeCell ref="Y70:Y71"/>
    <mergeCell ref="Z70:Z71"/>
    <mergeCell ref="AB70:AB71"/>
    <mergeCell ref="AC70:AC71"/>
    <mergeCell ref="AE70:AE71"/>
    <mergeCell ref="N70:N71"/>
    <mergeCell ref="P70:P71"/>
    <mergeCell ref="Q70:Q71"/>
    <mergeCell ref="S70:S71"/>
    <mergeCell ref="T70:T71"/>
    <mergeCell ref="V70:V71"/>
    <mergeCell ref="AT72:AT73"/>
    <mergeCell ref="AU72:AU73"/>
    <mergeCell ref="AW72:AW73"/>
    <mergeCell ref="AX72:AX73"/>
    <mergeCell ref="AZ72:AZ73"/>
    <mergeCell ref="A74:A75"/>
    <mergeCell ref="D74:D75"/>
    <mergeCell ref="G74:G75"/>
    <mergeCell ref="J74:J75"/>
    <mergeCell ref="M74:M75"/>
    <mergeCell ref="AK72:AK73"/>
    <mergeCell ref="AL72:AL73"/>
    <mergeCell ref="AN72:AN73"/>
    <mergeCell ref="AO72:AO73"/>
    <mergeCell ref="AQ72:AQ73"/>
    <mergeCell ref="AR72:AR73"/>
    <mergeCell ref="AB72:AB73"/>
    <mergeCell ref="AC72:AC73"/>
    <mergeCell ref="AE72:AE73"/>
    <mergeCell ref="AF72:AF73"/>
    <mergeCell ref="AH72:AH73"/>
    <mergeCell ref="AI72:AI73"/>
    <mergeCell ref="S72:S73"/>
    <mergeCell ref="T72:T73"/>
    <mergeCell ref="V72:V73"/>
    <mergeCell ref="W72:W73"/>
    <mergeCell ref="Y72:Y73"/>
    <mergeCell ref="Z72:Z73"/>
    <mergeCell ref="AX74:AX75"/>
    <mergeCell ref="AZ74:AZ75"/>
    <mergeCell ref="A72:A73"/>
    <mergeCell ref="D72:D73"/>
    <mergeCell ref="G72:G73"/>
    <mergeCell ref="J72:J73"/>
    <mergeCell ref="M72:M73"/>
    <mergeCell ref="A76:A77"/>
    <mergeCell ref="D76:D77"/>
    <mergeCell ref="G76:G77"/>
    <mergeCell ref="J76:J77"/>
    <mergeCell ref="M76:M77"/>
    <mergeCell ref="N76:N77"/>
    <mergeCell ref="P76:P77"/>
    <mergeCell ref="Q76:Q77"/>
    <mergeCell ref="AO74:AO75"/>
    <mergeCell ref="AQ74:AQ75"/>
    <mergeCell ref="AR74:AR75"/>
    <mergeCell ref="AT74:AT75"/>
    <mergeCell ref="AU74:AU75"/>
    <mergeCell ref="AW74:AW75"/>
    <mergeCell ref="AF74:AF75"/>
    <mergeCell ref="AH74:AH75"/>
    <mergeCell ref="AI74:AI75"/>
    <mergeCell ref="AK74:AK75"/>
    <mergeCell ref="AL74:AL75"/>
    <mergeCell ref="AN74:AN75"/>
    <mergeCell ref="W74:W75"/>
    <mergeCell ref="Y74:Y75"/>
    <mergeCell ref="Z74:Z75"/>
    <mergeCell ref="AB74:AB75"/>
    <mergeCell ref="AC74:AC75"/>
    <mergeCell ref="AE74:AE75"/>
    <mergeCell ref="N74:N75"/>
    <mergeCell ref="P74:P75"/>
    <mergeCell ref="Q74:Q75"/>
    <mergeCell ref="S74:S75"/>
    <mergeCell ref="T74:T75"/>
    <mergeCell ref="V74:V75"/>
    <mergeCell ref="N78:N79"/>
    <mergeCell ref="P78:P79"/>
    <mergeCell ref="Q78:Q79"/>
    <mergeCell ref="S78:S79"/>
    <mergeCell ref="AT76:AT77"/>
    <mergeCell ref="AU76:AU77"/>
    <mergeCell ref="AW76:AW77"/>
    <mergeCell ref="AX76:AX77"/>
    <mergeCell ref="AZ76:AZ77"/>
    <mergeCell ref="A78:A79"/>
    <mergeCell ref="D78:D79"/>
    <mergeCell ref="G78:G79"/>
    <mergeCell ref="H78:H79"/>
    <mergeCell ref="J78:J79"/>
    <mergeCell ref="AK76:AK77"/>
    <mergeCell ref="AL76:AL77"/>
    <mergeCell ref="AN76:AN77"/>
    <mergeCell ref="AO76:AO77"/>
    <mergeCell ref="AQ76:AQ77"/>
    <mergeCell ref="AR76:AR77"/>
    <mergeCell ref="AB76:AB77"/>
    <mergeCell ref="AC76:AC77"/>
    <mergeCell ref="AE76:AE77"/>
    <mergeCell ref="AF76:AF77"/>
    <mergeCell ref="AH76:AH77"/>
    <mergeCell ref="AI76:AI77"/>
    <mergeCell ref="S76:S77"/>
    <mergeCell ref="T76:T77"/>
    <mergeCell ref="V76:V77"/>
    <mergeCell ref="W76:W77"/>
    <mergeCell ref="Y76:Y77"/>
    <mergeCell ref="Z76:Z77"/>
    <mergeCell ref="V80:V81"/>
    <mergeCell ref="W80:W81"/>
    <mergeCell ref="AU78:AU79"/>
    <mergeCell ref="AW78:AW79"/>
    <mergeCell ref="AX78:AX79"/>
    <mergeCell ref="AZ78:AZ79"/>
    <mergeCell ref="A80:A81"/>
    <mergeCell ref="D80:D81"/>
    <mergeCell ref="G80:G81"/>
    <mergeCell ref="J80:J81"/>
    <mergeCell ref="M80:M81"/>
    <mergeCell ref="N80:N81"/>
    <mergeCell ref="AL78:AL79"/>
    <mergeCell ref="AN78:AN79"/>
    <mergeCell ref="AO78:AO79"/>
    <mergeCell ref="AQ78:AQ79"/>
    <mergeCell ref="AR78:AR79"/>
    <mergeCell ref="AT78:AT79"/>
    <mergeCell ref="AC78:AC79"/>
    <mergeCell ref="AE78:AE79"/>
    <mergeCell ref="AF78:AF79"/>
    <mergeCell ref="AH78:AH79"/>
    <mergeCell ref="AI78:AI79"/>
    <mergeCell ref="AK78:AK79"/>
    <mergeCell ref="T78:T79"/>
    <mergeCell ref="V78:V79"/>
    <mergeCell ref="W78:W79"/>
    <mergeCell ref="Y78:Y79"/>
    <mergeCell ref="Z78:Z79"/>
    <mergeCell ref="AB78:AB79"/>
    <mergeCell ref="K78:K79"/>
    <mergeCell ref="M78:M79"/>
    <mergeCell ref="AZ80:AZ81"/>
    <mergeCell ref="A82:A83"/>
    <mergeCell ref="D82:D83"/>
    <mergeCell ref="G82:G83"/>
    <mergeCell ref="J82:J83"/>
    <mergeCell ref="M82:M83"/>
    <mergeCell ref="N82:N83"/>
    <mergeCell ref="P82:P83"/>
    <mergeCell ref="Q82:Q83"/>
    <mergeCell ref="S82:S83"/>
    <mergeCell ref="AQ80:AQ81"/>
    <mergeCell ref="AR80:AR81"/>
    <mergeCell ref="AT80:AT81"/>
    <mergeCell ref="AU80:AU81"/>
    <mergeCell ref="AW80:AW81"/>
    <mergeCell ref="AX80:AX81"/>
    <mergeCell ref="AH80:AH81"/>
    <mergeCell ref="AI80:AI81"/>
    <mergeCell ref="AK80:AK81"/>
    <mergeCell ref="AL80:AL81"/>
    <mergeCell ref="AN80:AN81"/>
    <mergeCell ref="AO80:AO81"/>
    <mergeCell ref="Y80:Y81"/>
    <mergeCell ref="Z80:Z81"/>
    <mergeCell ref="AB80:AB81"/>
    <mergeCell ref="AC80:AC81"/>
    <mergeCell ref="AE80:AE81"/>
    <mergeCell ref="AF80:AF81"/>
    <mergeCell ref="P80:P81"/>
    <mergeCell ref="Q80:Q81"/>
    <mergeCell ref="S80:S81"/>
    <mergeCell ref="T80:T81"/>
    <mergeCell ref="AU82:AU83"/>
    <mergeCell ref="AW82:AW83"/>
    <mergeCell ref="AX82:AX83"/>
    <mergeCell ref="AZ82:AZ83"/>
    <mergeCell ref="A84:A85"/>
    <mergeCell ref="D84:D85"/>
    <mergeCell ref="G84:G85"/>
    <mergeCell ref="J84:J85"/>
    <mergeCell ref="M84:M85"/>
    <mergeCell ref="N84:N85"/>
    <mergeCell ref="AL82:AL83"/>
    <mergeCell ref="AN82:AN83"/>
    <mergeCell ref="AO82:AO83"/>
    <mergeCell ref="AQ82:AQ83"/>
    <mergeCell ref="AR82:AR83"/>
    <mergeCell ref="AT82:AT83"/>
    <mergeCell ref="AC82:AC83"/>
    <mergeCell ref="AE82:AE83"/>
    <mergeCell ref="AF82:AF83"/>
    <mergeCell ref="AH82:AH83"/>
    <mergeCell ref="AI82:AI83"/>
    <mergeCell ref="AK82:AK83"/>
    <mergeCell ref="T82:T83"/>
    <mergeCell ref="V82:V83"/>
    <mergeCell ref="W82:W83"/>
    <mergeCell ref="Y82:Y83"/>
    <mergeCell ref="Z82:Z83"/>
    <mergeCell ref="AB82:AB83"/>
    <mergeCell ref="AZ84:AZ85"/>
    <mergeCell ref="P86:P87"/>
    <mergeCell ref="Q86:Q87"/>
    <mergeCell ref="S86:S87"/>
    <mergeCell ref="AQ84:AQ85"/>
    <mergeCell ref="AR84:AR85"/>
    <mergeCell ref="AT84:AT85"/>
    <mergeCell ref="AU84:AU85"/>
    <mergeCell ref="AW84:AW85"/>
    <mergeCell ref="AX84:AX85"/>
    <mergeCell ref="AH84:AH85"/>
    <mergeCell ref="AI84:AI85"/>
    <mergeCell ref="AK84:AK85"/>
    <mergeCell ref="AL84:AL85"/>
    <mergeCell ref="AN84:AN85"/>
    <mergeCell ref="AO84:AO85"/>
    <mergeCell ref="Y84:Y85"/>
    <mergeCell ref="Z84:Z85"/>
    <mergeCell ref="AB84:AB85"/>
    <mergeCell ref="AC84:AC85"/>
    <mergeCell ref="AE84:AE85"/>
    <mergeCell ref="AF84:AF85"/>
    <mergeCell ref="P84:P85"/>
    <mergeCell ref="Q84:Q85"/>
    <mergeCell ref="S84:S85"/>
    <mergeCell ref="T84:T85"/>
    <mergeCell ref="V84:V85"/>
    <mergeCell ref="W84:W85"/>
    <mergeCell ref="AU86:AU87"/>
    <mergeCell ref="AW86:AW87"/>
    <mergeCell ref="AX86:AX87"/>
    <mergeCell ref="AZ86:AZ87"/>
    <mergeCell ref="A88:A89"/>
    <mergeCell ref="D88:D89"/>
    <mergeCell ref="G88:G89"/>
    <mergeCell ref="J88:J89"/>
    <mergeCell ref="M88:M89"/>
    <mergeCell ref="N88:N89"/>
    <mergeCell ref="AL86:AL87"/>
    <mergeCell ref="AN86:AN87"/>
    <mergeCell ref="AO86:AO87"/>
    <mergeCell ref="AQ86:AQ87"/>
    <mergeCell ref="AR86:AR87"/>
    <mergeCell ref="AT86:AT87"/>
    <mergeCell ref="AC86:AC87"/>
    <mergeCell ref="AE86:AE87"/>
    <mergeCell ref="AF86:AF87"/>
    <mergeCell ref="AH86:AH87"/>
    <mergeCell ref="AI86:AI87"/>
    <mergeCell ref="AK86:AK87"/>
    <mergeCell ref="T86:T87"/>
    <mergeCell ref="V86:V87"/>
    <mergeCell ref="W86:W87"/>
    <mergeCell ref="Y86:Y87"/>
    <mergeCell ref="Z86:Z87"/>
    <mergeCell ref="AB86:AB87"/>
    <mergeCell ref="AZ88:AZ89"/>
    <mergeCell ref="A86:A87"/>
    <mergeCell ref="D86:D87"/>
    <mergeCell ref="G86:G87"/>
    <mergeCell ref="J86:J87"/>
    <mergeCell ref="M86:M87"/>
    <mergeCell ref="N86:N87"/>
    <mergeCell ref="P90:P91"/>
    <mergeCell ref="Q90:Q91"/>
    <mergeCell ref="S90:S91"/>
    <mergeCell ref="AQ88:AQ89"/>
    <mergeCell ref="AR88:AR89"/>
    <mergeCell ref="AT88:AT89"/>
    <mergeCell ref="AU88:AU89"/>
    <mergeCell ref="AW88:AW89"/>
    <mergeCell ref="AX88:AX89"/>
    <mergeCell ref="AH88:AH89"/>
    <mergeCell ref="AI88:AI89"/>
    <mergeCell ref="AK88:AK89"/>
    <mergeCell ref="AL88:AL89"/>
    <mergeCell ref="AN88:AN89"/>
    <mergeCell ref="AO88:AO89"/>
    <mergeCell ref="Y88:Y89"/>
    <mergeCell ref="Z88:Z89"/>
    <mergeCell ref="AB88:AB89"/>
    <mergeCell ref="AC88:AC89"/>
    <mergeCell ref="AE88:AE89"/>
    <mergeCell ref="AF88:AF89"/>
    <mergeCell ref="P88:P89"/>
    <mergeCell ref="Q88:Q89"/>
    <mergeCell ref="S88:S89"/>
    <mergeCell ref="T88:T89"/>
    <mergeCell ref="V88:V89"/>
    <mergeCell ref="W88:W89"/>
    <mergeCell ref="AU90:AU91"/>
    <mergeCell ref="AW90:AW91"/>
    <mergeCell ref="AX90:AX91"/>
    <mergeCell ref="AZ90:AZ91"/>
    <mergeCell ref="A92:A93"/>
    <mergeCell ref="D92:D93"/>
    <mergeCell ref="G92:G93"/>
    <mergeCell ref="J92:J93"/>
    <mergeCell ref="M92:M93"/>
    <mergeCell ref="N92:N93"/>
    <mergeCell ref="AL90:AL91"/>
    <mergeCell ref="AN90:AN91"/>
    <mergeCell ref="AO90:AO91"/>
    <mergeCell ref="AQ90:AQ91"/>
    <mergeCell ref="AR90:AR91"/>
    <mergeCell ref="AT90:AT91"/>
    <mergeCell ref="AC90:AC91"/>
    <mergeCell ref="AE90:AE91"/>
    <mergeCell ref="AF90:AF91"/>
    <mergeCell ref="AH90:AH91"/>
    <mergeCell ref="AI90:AI91"/>
    <mergeCell ref="AK90:AK91"/>
    <mergeCell ref="T90:T91"/>
    <mergeCell ref="V90:V91"/>
    <mergeCell ref="W90:W91"/>
    <mergeCell ref="Y90:Y91"/>
    <mergeCell ref="Z90:Z91"/>
    <mergeCell ref="AB90:AB91"/>
    <mergeCell ref="AZ92:AZ93"/>
    <mergeCell ref="A90:A91"/>
    <mergeCell ref="D90:D91"/>
    <mergeCell ref="G90:G91"/>
    <mergeCell ref="J90:J91"/>
    <mergeCell ref="M90:M91"/>
    <mergeCell ref="N90:N91"/>
    <mergeCell ref="P94:P95"/>
    <mergeCell ref="Q94:Q95"/>
    <mergeCell ref="S94:S95"/>
    <mergeCell ref="AQ92:AQ93"/>
    <mergeCell ref="AR92:AR93"/>
    <mergeCell ref="AT92:AT93"/>
    <mergeCell ref="AU92:AU93"/>
    <mergeCell ref="AW92:AW93"/>
    <mergeCell ref="AX92:AX93"/>
    <mergeCell ref="AH92:AH93"/>
    <mergeCell ref="AI92:AI93"/>
    <mergeCell ref="AK92:AK93"/>
    <mergeCell ref="AL92:AL93"/>
    <mergeCell ref="AN92:AN93"/>
    <mergeCell ref="AO92:AO93"/>
    <mergeCell ref="Y92:Y93"/>
    <mergeCell ref="Z92:Z93"/>
    <mergeCell ref="AB92:AB93"/>
    <mergeCell ref="AC92:AC93"/>
    <mergeCell ref="AE92:AE93"/>
    <mergeCell ref="AF92:AF93"/>
    <mergeCell ref="P92:P93"/>
    <mergeCell ref="Q92:Q93"/>
    <mergeCell ref="S92:S93"/>
    <mergeCell ref="T92:T93"/>
    <mergeCell ref="V92:V93"/>
    <mergeCell ref="W92:W93"/>
    <mergeCell ref="AU94:AU95"/>
    <mergeCell ref="AW94:AW95"/>
    <mergeCell ref="AX94:AX95"/>
    <mergeCell ref="AZ94:AZ95"/>
    <mergeCell ref="A96:A97"/>
    <mergeCell ref="D96:D97"/>
    <mergeCell ref="G96:G97"/>
    <mergeCell ref="J96:J97"/>
    <mergeCell ref="M96:M97"/>
    <mergeCell ref="N96:N97"/>
    <mergeCell ref="AL94:AL95"/>
    <mergeCell ref="AN94:AN95"/>
    <mergeCell ref="AO94:AO95"/>
    <mergeCell ref="AQ94:AQ95"/>
    <mergeCell ref="AR94:AR95"/>
    <mergeCell ref="AT94:AT95"/>
    <mergeCell ref="AC94:AC95"/>
    <mergeCell ref="AE94:AE95"/>
    <mergeCell ref="AF94:AF95"/>
    <mergeCell ref="AH94:AH95"/>
    <mergeCell ref="AI94:AI95"/>
    <mergeCell ref="AK94:AK95"/>
    <mergeCell ref="T94:T95"/>
    <mergeCell ref="V94:V95"/>
    <mergeCell ref="W94:W95"/>
    <mergeCell ref="Y94:Y95"/>
    <mergeCell ref="Z94:Z95"/>
    <mergeCell ref="AB94:AB95"/>
    <mergeCell ref="AZ96:AZ97"/>
    <mergeCell ref="A94:A95"/>
    <mergeCell ref="D94:D95"/>
    <mergeCell ref="G94:G95"/>
    <mergeCell ref="J94:J95"/>
    <mergeCell ref="M94:M95"/>
    <mergeCell ref="N94:N95"/>
    <mergeCell ref="P98:P99"/>
    <mergeCell ref="Q98:Q99"/>
    <mergeCell ref="S98:S99"/>
    <mergeCell ref="AQ96:AQ97"/>
    <mergeCell ref="AR96:AR97"/>
    <mergeCell ref="AT96:AT97"/>
    <mergeCell ref="AU96:AU97"/>
    <mergeCell ref="AW96:AW97"/>
    <mergeCell ref="AX96:AX97"/>
    <mergeCell ref="AH96:AH97"/>
    <mergeCell ref="AI96:AI97"/>
    <mergeCell ref="AK96:AK97"/>
    <mergeCell ref="AL96:AL97"/>
    <mergeCell ref="AN96:AN97"/>
    <mergeCell ref="AO96:AO97"/>
    <mergeCell ref="Y96:Y97"/>
    <mergeCell ref="Z96:Z97"/>
    <mergeCell ref="AB96:AB97"/>
    <mergeCell ref="AC96:AC97"/>
    <mergeCell ref="AE96:AE97"/>
    <mergeCell ref="AF96:AF97"/>
    <mergeCell ref="P96:P97"/>
    <mergeCell ref="Q96:Q97"/>
    <mergeCell ref="S96:S97"/>
    <mergeCell ref="T96:T97"/>
    <mergeCell ref="V96:V97"/>
    <mergeCell ref="W96:W97"/>
    <mergeCell ref="AU98:AU99"/>
    <mergeCell ref="AW98:AW99"/>
    <mergeCell ref="AX98:AX99"/>
    <mergeCell ref="AZ98:AZ99"/>
    <mergeCell ref="A100:A101"/>
    <mergeCell ref="D100:D101"/>
    <mergeCell ref="G100:G101"/>
    <mergeCell ref="J100:J101"/>
    <mergeCell ref="M100:M101"/>
    <mergeCell ref="N100:N101"/>
    <mergeCell ref="AL98:AL99"/>
    <mergeCell ref="AN98:AN99"/>
    <mergeCell ref="AO98:AO99"/>
    <mergeCell ref="AQ98:AQ99"/>
    <mergeCell ref="AR98:AR99"/>
    <mergeCell ref="AT98:AT99"/>
    <mergeCell ref="AC98:AC99"/>
    <mergeCell ref="AE98:AE99"/>
    <mergeCell ref="AF98:AF99"/>
    <mergeCell ref="AH98:AH99"/>
    <mergeCell ref="AI98:AI99"/>
    <mergeCell ref="AK98:AK99"/>
    <mergeCell ref="T98:T99"/>
    <mergeCell ref="V98:V99"/>
    <mergeCell ref="W98:W99"/>
    <mergeCell ref="Y98:Y99"/>
    <mergeCell ref="Z98:Z99"/>
    <mergeCell ref="AB98:AB99"/>
    <mergeCell ref="AZ100:AZ101"/>
    <mergeCell ref="A98:A99"/>
    <mergeCell ref="D98:D99"/>
    <mergeCell ref="G98:G99"/>
    <mergeCell ref="J98:J99"/>
    <mergeCell ref="M98:M99"/>
    <mergeCell ref="N98:N99"/>
    <mergeCell ref="P102:P103"/>
    <mergeCell ref="Q102:Q103"/>
    <mergeCell ref="S102:S103"/>
    <mergeCell ref="AQ100:AQ101"/>
    <mergeCell ref="AR100:AR101"/>
    <mergeCell ref="AT100:AT101"/>
    <mergeCell ref="AU100:AU101"/>
    <mergeCell ref="AW100:AW101"/>
    <mergeCell ref="AX100:AX101"/>
    <mergeCell ref="AH100:AH101"/>
    <mergeCell ref="AI100:AI101"/>
    <mergeCell ref="AK100:AK101"/>
    <mergeCell ref="AL100:AL101"/>
    <mergeCell ref="AN100:AN101"/>
    <mergeCell ref="AO100:AO101"/>
    <mergeCell ref="Y100:Y101"/>
    <mergeCell ref="Z100:Z101"/>
    <mergeCell ref="AB100:AB101"/>
    <mergeCell ref="AC100:AC101"/>
    <mergeCell ref="AE100:AE101"/>
    <mergeCell ref="AF100:AF101"/>
    <mergeCell ref="P100:P101"/>
    <mergeCell ref="Q100:Q101"/>
    <mergeCell ref="S100:S101"/>
    <mergeCell ref="T100:T101"/>
    <mergeCell ref="V100:V101"/>
    <mergeCell ref="W100:W101"/>
    <mergeCell ref="AU102:AU103"/>
    <mergeCell ref="AW102:AW103"/>
    <mergeCell ref="AX102:AX103"/>
    <mergeCell ref="AZ102:AZ103"/>
    <mergeCell ref="A104:A105"/>
    <mergeCell ref="D104:D105"/>
    <mergeCell ref="G104:G105"/>
    <mergeCell ref="J104:J105"/>
    <mergeCell ref="M104:M105"/>
    <mergeCell ref="N104:N105"/>
    <mergeCell ref="AL102:AL103"/>
    <mergeCell ref="AN102:AN103"/>
    <mergeCell ref="AO102:AO103"/>
    <mergeCell ref="AQ102:AQ103"/>
    <mergeCell ref="AR102:AR103"/>
    <mergeCell ref="AT102:AT103"/>
    <mergeCell ref="AC102:AC103"/>
    <mergeCell ref="AE102:AE103"/>
    <mergeCell ref="AF102:AF103"/>
    <mergeCell ref="AH102:AH103"/>
    <mergeCell ref="AI102:AI103"/>
    <mergeCell ref="AK102:AK103"/>
    <mergeCell ref="T102:T103"/>
    <mergeCell ref="V102:V103"/>
    <mergeCell ref="W102:W103"/>
    <mergeCell ref="Y102:Y103"/>
    <mergeCell ref="Z102:Z103"/>
    <mergeCell ref="AB102:AB103"/>
    <mergeCell ref="AZ104:AZ105"/>
    <mergeCell ref="A102:A103"/>
    <mergeCell ref="D102:D103"/>
    <mergeCell ref="G102:G103"/>
    <mergeCell ref="J102:J103"/>
    <mergeCell ref="M102:M103"/>
    <mergeCell ref="N102:N103"/>
    <mergeCell ref="D106:D107"/>
    <mergeCell ref="G106:G107"/>
    <mergeCell ref="J106:J107"/>
    <mergeCell ref="M106:M107"/>
    <mergeCell ref="N106:N107"/>
    <mergeCell ref="P106:P107"/>
    <mergeCell ref="Q106:Q107"/>
    <mergeCell ref="S106:S107"/>
    <mergeCell ref="AQ104:AQ105"/>
    <mergeCell ref="AR104:AR105"/>
    <mergeCell ref="AT104:AT105"/>
    <mergeCell ref="AU104:AU105"/>
    <mergeCell ref="AW104:AW105"/>
    <mergeCell ref="AX104:AX105"/>
    <mergeCell ref="AH104:AH105"/>
    <mergeCell ref="AI104:AI105"/>
    <mergeCell ref="AK104:AK105"/>
    <mergeCell ref="AL104:AL105"/>
    <mergeCell ref="AN104:AN105"/>
    <mergeCell ref="AO104:AO105"/>
    <mergeCell ref="Y104:Y105"/>
    <mergeCell ref="Z104:Z105"/>
    <mergeCell ref="AB104:AB105"/>
    <mergeCell ref="AC104:AC105"/>
    <mergeCell ref="AE104:AE105"/>
    <mergeCell ref="AF104:AF105"/>
    <mergeCell ref="P104:P105"/>
    <mergeCell ref="Q104:Q105"/>
    <mergeCell ref="S104:S105"/>
    <mergeCell ref="T104:T105"/>
    <mergeCell ref="V104:V105"/>
    <mergeCell ref="W104:W105"/>
    <mergeCell ref="V108:V109"/>
    <mergeCell ref="W108:W109"/>
    <mergeCell ref="AU106:AU107"/>
    <mergeCell ref="AW106:AW107"/>
    <mergeCell ref="AX106:AX107"/>
    <mergeCell ref="AZ106:AZ107"/>
    <mergeCell ref="A108:A109"/>
    <mergeCell ref="D108:D109"/>
    <mergeCell ref="G108:G109"/>
    <mergeCell ref="J108:J109"/>
    <mergeCell ref="M108:M109"/>
    <mergeCell ref="N108:N109"/>
    <mergeCell ref="AL106:AL107"/>
    <mergeCell ref="AN106:AN107"/>
    <mergeCell ref="AO106:AO107"/>
    <mergeCell ref="AQ106:AQ107"/>
    <mergeCell ref="AR106:AR107"/>
    <mergeCell ref="AT106:AT107"/>
    <mergeCell ref="AC106:AC107"/>
    <mergeCell ref="AE106:AE107"/>
    <mergeCell ref="AF106:AF107"/>
    <mergeCell ref="AH106:AH107"/>
    <mergeCell ref="AI106:AI107"/>
    <mergeCell ref="AK106:AK107"/>
    <mergeCell ref="T106:T107"/>
    <mergeCell ref="V106:V107"/>
    <mergeCell ref="W106:W107"/>
    <mergeCell ref="Y106:Y107"/>
    <mergeCell ref="Z106:Z107"/>
    <mergeCell ref="AB106:AB107"/>
    <mergeCell ref="AZ108:AZ109"/>
    <mergeCell ref="A106:A107"/>
    <mergeCell ref="A110:A111"/>
    <mergeCell ref="D110:D111"/>
    <mergeCell ref="G110:G111"/>
    <mergeCell ref="J110:J111"/>
    <mergeCell ref="M110:M111"/>
    <mergeCell ref="N110:N111"/>
    <mergeCell ref="P110:P111"/>
    <mergeCell ref="Q110:Q111"/>
    <mergeCell ref="S110:S111"/>
    <mergeCell ref="AQ108:AQ109"/>
    <mergeCell ref="AR108:AR109"/>
    <mergeCell ref="AT108:AT109"/>
    <mergeCell ref="AU108:AU109"/>
    <mergeCell ref="AW108:AW109"/>
    <mergeCell ref="AX108:AX109"/>
    <mergeCell ref="AH108:AH109"/>
    <mergeCell ref="AI108:AI109"/>
    <mergeCell ref="AK108:AK109"/>
    <mergeCell ref="AL108:AL109"/>
    <mergeCell ref="AN108:AN109"/>
    <mergeCell ref="AO108:AO109"/>
    <mergeCell ref="Y108:Y109"/>
    <mergeCell ref="Z108:Z109"/>
    <mergeCell ref="AB108:AB109"/>
    <mergeCell ref="AC108:AC109"/>
    <mergeCell ref="AE108:AE109"/>
    <mergeCell ref="AF108:AF109"/>
    <mergeCell ref="P108:P109"/>
    <mergeCell ref="Q108:Q109"/>
    <mergeCell ref="S108:S109"/>
    <mergeCell ref="T108:T109"/>
    <mergeCell ref="AU110:AU111"/>
    <mergeCell ref="AW110:AW111"/>
    <mergeCell ref="AX110:AX111"/>
    <mergeCell ref="AZ110:AZ111"/>
    <mergeCell ref="AL110:AL111"/>
    <mergeCell ref="AN110:AN111"/>
    <mergeCell ref="AO110:AO111"/>
    <mergeCell ref="AQ110:AQ111"/>
    <mergeCell ref="AR110:AR111"/>
    <mergeCell ref="AT110:AT111"/>
    <mergeCell ref="AC110:AC111"/>
    <mergeCell ref="AE110:AE111"/>
    <mergeCell ref="AF110:AF111"/>
    <mergeCell ref="AH110:AH111"/>
    <mergeCell ref="AI110:AI111"/>
    <mergeCell ref="AK110:AK111"/>
    <mergeCell ref="T110:T111"/>
    <mergeCell ref="V110:V111"/>
    <mergeCell ref="W110:W111"/>
    <mergeCell ref="Y110:Y111"/>
    <mergeCell ref="Z110:Z111"/>
    <mergeCell ref="AB110:AB111"/>
  </mergeCells>
  <pageMargins left="0.7" right="0.7" top="0.5" bottom="0.43" header="0.21"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ADA7-5B69-4218-8D0D-BB6C8C3B0BBD}">
  <dimension ref="A1:AN83"/>
  <sheetViews>
    <sheetView tabSelected="1" zoomScaleNormal="100" workbookViewId="0">
      <pane ySplit="1" topLeftCell="A54" activePane="bottomLeft" state="frozen"/>
      <selection pane="bottomLeft" activeCell="C55" sqref="C55"/>
    </sheetView>
  </sheetViews>
  <sheetFormatPr baseColWidth="10" defaultRowHeight="32.25" customHeight="1" x14ac:dyDescent="0.25"/>
  <cols>
    <col min="1" max="1" width="17.7109375" style="19" customWidth="1"/>
    <col min="2" max="2" width="19.85546875" style="19" customWidth="1"/>
    <col min="3" max="3" width="6.7109375" style="52" customWidth="1"/>
    <col min="4" max="4" width="7.42578125" style="52" hidden="1" customWidth="1"/>
    <col min="5" max="5" width="18.28515625" style="53" hidden="1" customWidth="1"/>
    <col min="6" max="6" width="6.7109375" style="52" customWidth="1"/>
    <col min="7" max="7" width="7" style="52" hidden="1" customWidth="1"/>
    <col min="8" max="8" width="22.5703125" style="53" hidden="1" customWidth="1"/>
    <col min="9" max="9" width="7" style="52" customWidth="1"/>
    <col min="10" max="10" width="9" style="52" hidden="1" customWidth="1"/>
    <col min="11" max="11" width="24.42578125" style="53" hidden="1" customWidth="1"/>
    <col min="12" max="12" width="8.42578125" style="52" customWidth="1"/>
    <col min="13" max="13" width="9" style="52" hidden="1" customWidth="1"/>
    <col min="14" max="14" width="24.42578125" style="53" hidden="1" customWidth="1"/>
    <col min="15" max="15" width="8.42578125" style="52" customWidth="1"/>
    <col min="16" max="16" width="9" style="52" hidden="1" customWidth="1"/>
    <col min="17" max="17" width="24.42578125" style="53" hidden="1" customWidth="1"/>
    <col min="18" max="18" width="8.42578125" style="52" customWidth="1"/>
    <col min="19" max="19" width="9" style="52" hidden="1" customWidth="1"/>
    <col min="20" max="20" width="24.42578125" style="53" hidden="1" customWidth="1"/>
    <col min="21" max="21" width="8.42578125" style="52" customWidth="1"/>
    <col min="22" max="22" width="10.5703125" style="52" hidden="1" customWidth="1"/>
    <col min="23" max="23" width="24.42578125" style="53" hidden="1" customWidth="1"/>
    <col min="24" max="24" width="8.42578125" style="52" customWidth="1"/>
    <col min="25" max="25" width="10.5703125" style="52" hidden="1" customWidth="1"/>
    <col min="26" max="26" width="24.42578125" style="53" hidden="1" customWidth="1"/>
    <col min="27" max="27" width="8.28515625" style="19" customWidth="1"/>
    <col min="28" max="28" width="8.7109375" style="19" hidden="1" customWidth="1"/>
    <col min="29" max="29" width="7.7109375" style="19" hidden="1" customWidth="1"/>
    <col min="30" max="30" width="10" style="19" customWidth="1"/>
    <col min="31" max="31" width="9.28515625" style="19" hidden="1" customWidth="1"/>
    <col min="32" max="32" width="8.140625" style="19" hidden="1" customWidth="1"/>
    <col min="33" max="33" width="10" style="19" customWidth="1"/>
    <col min="34" max="34" width="9.28515625" style="19" hidden="1" customWidth="1"/>
    <col min="35" max="35" width="7.85546875" style="19" hidden="1" customWidth="1"/>
    <col min="36" max="36" width="10" style="19" customWidth="1"/>
    <col min="37" max="37" width="9.28515625" style="19" hidden="1" customWidth="1"/>
    <col min="38" max="39" width="0" hidden="1" customWidth="1"/>
  </cols>
  <sheetData>
    <row r="1" spans="1:39" ht="32.25" customHeight="1" x14ac:dyDescent="0.25">
      <c r="A1" s="190"/>
      <c r="B1" s="191"/>
      <c r="C1" s="16">
        <v>42736</v>
      </c>
      <c r="D1" s="17" t="s">
        <v>2</v>
      </c>
      <c r="E1" s="18" t="s">
        <v>3</v>
      </c>
      <c r="F1" s="16">
        <v>42767</v>
      </c>
      <c r="G1" s="17" t="s">
        <v>2</v>
      </c>
      <c r="H1" s="18" t="s">
        <v>3</v>
      </c>
      <c r="I1" s="16">
        <v>42795</v>
      </c>
      <c r="J1" s="17" t="s">
        <v>2</v>
      </c>
      <c r="K1" s="18" t="s">
        <v>3</v>
      </c>
      <c r="L1" s="16">
        <v>42826</v>
      </c>
      <c r="M1" s="17" t="s">
        <v>2</v>
      </c>
      <c r="N1" s="18" t="s">
        <v>3</v>
      </c>
      <c r="O1" s="16">
        <v>42856</v>
      </c>
      <c r="P1" s="17" t="s">
        <v>2</v>
      </c>
      <c r="Q1" s="18" t="s">
        <v>3</v>
      </c>
      <c r="R1" s="16">
        <v>42887</v>
      </c>
      <c r="S1" s="17" t="s">
        <v>2</v>
      </c>
      <c r="T1" s="18" t="s">
        <v>3</v>
      </c>
      <c r="U1" s="16">
        <v>42917</v>
      </c>
      <c r="V1" s="17" t="s">
        <v>2</v>
      </c>
      <c r="W1" s="18" t="s">
        <v>3</v>
      </c>
      <c r="X1" s="16">
        <v>42948</v>
      </c>
      <c r="Y1" s="17" t="s">
        <v>2</v>
      </c>
      <c r="Z1" s="18" t="s">
        <v>3</v>
      </c>
      <c r="AA1" s="16">
        <v>42979</v>
      </c>
      <c r="AB1" s="17" t="s">
        <v>2</v>
      </c>
      <c r="AC1" s="18" t="s">
        <v>3</v>
      </c>
      <c r="AD1" s="16">
        <v>43009</v>
      </c>
      <c r="AE1" s="17" t="s">
        <v>2</v>
      </c>
      <c r="AF1" s="18" t="s">
        <v>3</v>
      </c>
      <c r="AG1" s="16">
        <v>43040</v>
      </c>
      <c r="AH1" s="17" t="s">
        <v>2</v>
      </c>
      <c r="AI1" s="18" t="s">
        <v>3</v>
      </c>
      <c r="AJ1" s="16">
        <v>43070</v>
      </c>
      <c r="AK1" s="17" t="s">
        <v>2</v>
      </c>
      <c r="AL1" s="86" t="s">
        <v>468</v>
      </c>
      <c r="AM1" t="s">
        <v>469</v>
      </c>
    </row>
    <row r="2" spans="1:39" ht="32.25" customHeight="1" x14ac:dyDescent="0.25">
      <c r="A2" s="146" t="s">
        <v>10</v>
      </c>
      <c r="B2" s="82" t="s">
        <v>11</v>
      </c>
      <c r="C2" s="28">
        <v>158</v>
      </c>
      <c r="D2" s="142">
        <f>+C2/C3</f>
        <v>0.60305343511450382</v>
      </c>
      <c r="E2" s="144"/>
      <c r="F2" s="28">
        <v>131</v>
      </c>
      <c r="G2" s="142">
        <f>+F2/F3</f>
        <v>0.68947368421052635</v>
      </c>
      <c r="H2" s="144"/>
      <c r="I2" s="28">
        <v>126</v>
      </c>
      <c r="J2" s="142">
        <f>+I2/I3</f>
        <v>0.6737967914438503</v>
      </c>
      <c r="K2" s="144"/>
      <c r="L2" s="28">
        <v>115</v>
      </c>
      <c r="M2" s="142">
        <f>+L2/L3</f>
        <v>0.63186813186813184</v>
      </c>
      <c r="N2" s="144"/>
      <c r="O2" s="28">
        <v>157</v>
      </c>
      <c r="P2" s="142">
        <f>+O2/O3</f>
        <v>0.71040723981900455</v>
      </c>
      <c r="Q2" s="144"/>
      <c r="R2" s="28">
        <v>110</v>
      </c>
      <c r="S2" s="142">
        <f>+R2/R3</f>
        <v>0.63953488372093026</v>
      </c>
      <c r="T2" s="144"/>
      <c r="U2" s="28">
        <v>121</v>
      </c>
      <c r="V2" s="142">
        <f>+U2/U3</f>
        <v>0.65053763440860213</v>
      </c>
      <c r="W2" s="144"/>
      <c r="X2" s="28">
        <v>111</v>
      </c>
      <c r="Y2" s="142">
        <f>+X2/X3</f>
        <v>0.63068181818181823</v>
      </c>
      <c r="Z2" s="144"/>
      <c r="AA2" s="28">
        <v>113</v>
      </c>
      <c r="AB2" s="142">
        <f>+AA2/AA3</f>
        <v>0.68902439024390238</v>
      </c>
      <c r="AC2" s="144"/>
      <c r="AD2" s="28">
        <v>96</v>
      </c>
      <c r="AE2" s="142">
        <f>+AD2/AD3</f>
        <v>0.59627329192546585</v>
      </c>
      <c r="AF2" s="144"/>
      <c r="AG2" s="28">
        <v>96</v>
      </c>
      <c r="AH2" s="142">
        <f>+AG2/AG3</f>
        <v>0.64429530201342278</v>
      </c>
      <c r="AI2" s="163" t="s">
        <v>200</v>
      </c>
      <c r="AJ2" s="28">
        <v>83</v>
      </c>
      <c r="AK2" s="142">
        <f>+AJ2/AJ3</f>
        <v>0.58450704225352113</v>
      </c>
      <c r="AL2" s="87">
        <f>SUM(C2+F2+I2+L2+O2+R2+U2+X2+AA2+AD2+AG2+AJ2)</f>
        <v>1417</v>
      </c>
      <c r="AM2" s="193">
        <f>(AL2/AL3)*100</f>
        <v>64.644160583941598</v>
      </c>
    </row>
    <row r="3" spans="1:39" ht="32.25" customHeight="1" x14ac:dyDescent="0.25">
      <c r="A3" s="146"/>
      <c r="B3" s="82" t="s">
        <v>12</v>
      </c>
      <c r="C3" s="28">
        <v>262</v>
      </c>
      <c r="D3" s="143"/>
      <c r="E3" s="145"/>
      <c r="F3" s="28">
        <v>190</v>
      </c>
      <c r="G3" s="143"/>
      <c r="H3" s="145"/>
      <c r="I3" s="28">
        <v>187</v>
      </c>
      <c r="J3" s="143"/>
      <c r="K3" s="145"/>
      <c r="L3" s="28">
        <v>182</v>
      </c>
      <c r="M3" s="143"/>
      <c r="N3" s="145"/>
      <c r="O3" s="28">
        <v>221</v>
      </c>
      <c r="P3" s="143"/>
      <c r="Q3" s="145"/>
      <c r="R3" s="28">
        <v>172</v>
      </c>
      <c r="S3" s="143"/>
      <c r="T3" s="145"/>
      <c r="U3" s="28">
        <v>186</v>
      </c>
      <c r="V3" s="143"/>
      <c r="W3" s="145"/>
      <c r="X3" s="28">
        <v>176</v>
      </c>
      <c r="Y3" s="143"/>
      <c r="Z3" s="145"/>
      <c r="AA3" s="28">
        <v>164</v>
      </c>
      <c r="AB3" s="143"/>
      <c r="AC3" s="145"/>
      <c r="AD3" s="28">
        <v>161</v>
      </c>
      <c r="AE3" s="143"/>
      <c r="AF3" s="145"/>
      <c r="AG3" s="28">
        <v>149</v>
      </c>
      <c r="AH3" s="143"/>
      <c r="AI3" s="164"/>
      <c r="AJ3" s="28">
        <v>142</v>
      </c>
      <c r="AK3" s="143"/>
      <c r="AL3" s="87">
        <f t="shared" ref="AL3:AL50" si="0">SUM(C3+F3+I3+L3+O3+R3+U3+X3+AA3+AD3+AG3+AJ3)</f>
        <v>2192</v>
      </c>
      <c r="AM3" s="193"/>
    </row>
    <row r="4" spans="1:39" ht="84.75" customHeight="1" x14ac:dyDescent="0.25">
      <c r="A4" s="146" t="s">
        <v>13</v>
      </c>
      <c r="B4" s="82" t="s">
        <v>14</v>
      </c>
      <c r="C4" s="28">
        <v>9</v>
      </c>
      <c r="D4" s="142">
        <f>+C4/C5</f>
        <v>3.3210332103321034E-2</v>
      </c>
      <c r="E4" s="163"/>
      <c r="F4" s="28">
        <v>3</v>
      </c>
      <c r="G4" s="142">
        <f>+F4/F5</f>
        <v>1.5544041450777202E-2</v>
      </c>
      <c r="H4" s="163"/>
      <c r="I4" s="28">
        <v>6</v>
      </c>
      <c r="J4" s="142">
        <f>+I4/I5</f>
        <v>3.1088082901554404E-2</v>
      </c>
      <c r="K4" s="163"/>
      <c r="L4" s="28">
        <v>5</v>
      </c>
      <c r="M4" s="142">
        <f>+L4/L5</f>
        <v>2.6737967914438502E-2</v>
      </c>
      <c r="N4" s="163"/>
      <c r="O4" s="28">
        <v>0</v>
      </c>
      <c r="P4" s="142">
        <f>+O4/O5</f>
        <v>0</v>
      </c>
      <c r="Q4" s="163"/>
      <c r="R4" s="28">
        <v>4</v>
      </c>
      <c r="S4" s="142">
        <f>+R4/R5</f>
        <v>2.2727272727272728E-2</v>
      </c>
      <c r="T4" s="163"/>
      <c r="U4" s="28">
        <v>5</v>
      </c>
      <c r="V4" s="142">
        <f>+U4/U5</f>
        <v>2.6178010471204188E-2</v>
      </c>
      <c r="W4" s="163"/>
      <c r="X4" s="28">
        <v>9</v>
      </c>
      <c r="Y4" s="142">
        <f>+X4/X5</f>
        <v>4.8648648648648651E-2</v>
      </c>
      <c r="Z4" s="163"/>
      <c r="AA4" s="28">
        <v>8</v>
      </c>
      <c r="AB4" s="142">
        <f>+AA4/AA5</f>
        <v>4.7337278106508875E-2</v>
      </c>
      <c r="AC4" s="163" t="s">
        <v>204</v>
      </c>
      <c r="AD4" s="28">
        <v>4</v>
      </c>
      <c r="AE4" s="142">
        <f>+AD4/AD5</f>
        <v>2.3668639053254437E-2</v>
      </c>
      <c r="AF4" s="163" t="s">
        <v>203</v>
      </c>
      <c r="AG4" s="28">
        <v>3</v>
      </c>
      <c r="AH4" s="142">
        <f>+AG4/AG5</f>
        <v>1.9736842105263157E-2</v>
      </c>
      <c r="AI4" s="163" t="s">
        <v>203</v>
      </c>
      <c r="AJ4" s="28">
        <v>0</v>
      </c>
      <c r="AK4" s="142">
        <f>+AJ4/AJ5</f>
        <v>0</v>
      </c>
      <c r="AL4" s="87">
        <f t="shared" si="0"/>
        <v>56</v>
      </c>
      <c r="AM4" s="192">
        <f>+AL4/AL5</f>
        <v>2.4899955535793685E-2</v>
      </c>
    </row>
    <row r="5" spans="1:39" ht="70.5" customHeight="1" x14ac:dyDescent="0.25">
      <c r="A5" s="146"/>
      <c r="B5" s="82" t="s">
        <v>15</v>
      </c>
      <c r="C5" s="28">
        <f>262+9</f>
        <v>271</v>
      </c>
      <c r="D5" s="143"/>
      <c r="E5" s="164"/>
      <c r="F5" s="28">
        <v>193</v>
      </c>
      <c r="G5" s="143"/>
      <c r="H5" s="164"/>
      <c r="I5" s="28">
        <f>187+6</f>
        <v>193</v>
      </c>
      <c r="J5" s="143"/>
      <c r="K5" s="164"/>
      <c r="L5" s="28">
        <v>187</v>
      </c>
      <c r="M5" s="143"/>
      <c r="N5" s="164"/>
      <c r="O5" s="28">
        <v>221</v>
      </c>
      <c r="P5" s="143"/>
      <c r="Q5" s="164"/>
      <c r="R5" s="28">
        <f>R3+R4</f>
        <v>176</v>
      </c>
      <c r="S5" s="143"/>
      <c r="T5" s="164"/>
      <c r="U5" s="28">
        <f>+U3+U4</f>
        <v>191</v>
      </c>
      <c r="V5" s="143"/>
      <c r="W5" s="164"/>
      <c r="X5" s="28">
        <f>+X3+X4</f>
        <v>185</v>
      </c>
      <c r="Y5" s="143"/>
      <c r="Z5" s="164"/>
      <c r="AA5" s="28">
        <f>+AA3+5</f>
        <v>169</v>
      </c>
      <c r="AB5" s="143"/>
      <c r="AC5" s="164"/>
      <c r="AD5" s="28">
        <f>+AD3+8</f>
        <v>169</v>
      </c>
      <c r="AE5" s="143"/>
      <c r="AF5" s="164"/>
      <c r="AG5" s="28">
        <f>+AG3+AG4</f>
        <v>152</v>
      </c>
      <c r="AH5" s="143"/>
      <c r="AI5" s="164"/>
      <c r="AJ5" s="28">
        <v>142</v>
      </c>
      <c r="AK5" s="143"/>
      <c r="AL5" s="87">
        <f t="shared" si="0"/>
        <v>2249</v>
      </c>
      <c r="AM5" s="192"/>
    </row>
    <row r="6" spans="1:39" ht="32.25" customHeight="1" x14ac:dyDescent="0.25">
      <c r="A6" s="146" t="s">
        <v>16</v>
      </c>
      <c r="B6" s="82" t="s">
        <v>17</v>
      </c>
      <c r="C6" s="28">
        <v>84</v>
      </c>
      <c r="D6" s="142">
        <v>0</v>
      </c>
      <c r="E6" s="163"/>
      <c r="F6" s="28">
        <v>69</v>
      </c>
      <c r="G6" s="142">
        <v>0</v>
      </c>
      <c r="H6" s="163" t="s">
        <v>177</v>
      </c>
      <c r="I6" s="28">
        <v>44</v>
      </c>
      <c r="J6" s="142">
        <v>0</v>
      </c>
      <c r="K6" s="163" t="s">
        <v>180</v>
      </c>
      <c r="L6" s="28">
        <v>52</v>
      </c>
      <c r="M6" s="142">
        <v>0</v>
      </c>
      <c r="N6" s="163" t="s">
        <v>185</v>
      </c>
      <c r="O6" s="28">
        <v>34</v>
      </c>
      <c r="P6" s="142">
        <v>0</v>
      </c>
      <c r="Q6" s="163" t="s">
        <v>186</v>
      </c>
      <c r="R6" s="28">
        <v>8</v>
      </c>
      <c r="S6" s="142">
        <v>0</v>
      </c>
      <c r="T6" s="163" t="s">
        <v>187</v>
      </c>
      <c r="U6" s="28">
        <v>14</v>
      </c>
      <c r="V6" s="142">
        <v>0</v>
      </c>
      <c r="W6" s="163" t="s">
        <v>188</v>
      </c>
      <c r="X6" s="28">
        <v>7</v>
      </c>
      <c r="Y6" s="142">
        <v>0</v>
      </c>
      <c r="Z6" s="163" t="s">
        <v>194</v>
      </c>
      <c r="AA6" s="28">
        <v>19</v>
      </c>
      <c r="AB6" s="142">
        <v>0</v>
      </c>
      <c r="AC6" s="163" t="s">
        <v>197</v>
      </c>
      <c r="AD6" s="28">
        <v>8</v>
      </c>
      <c r="AE6" s="142">
        <v>0</v>
      </c>
      <c r="AF6" s="163" t="s">
        <v>198</v>
      </c>
      <c r="AG6" s="28">
        <v>4</v>
      </c>
      <c r="AH6" s="142">
        <v>0</v>
      </c>
      <c r="AI6" s="163" t="s">
        <v>197</v>
      </c>
      <c r="AJ6" s="28">
        <v>16</v>
      </c>
      <c r="AK6" s="142">
        <v>0</v>
      </c>
      <c r="AL6" s="87">
        <f t="shared" si="0"/>
        <v>359</v>
      </c>
      <c r="AM6" s="192">
        <f t="shared" ref="AM6" si="1">+AL6/AL7</f>
        <v>71.8</v>
      </c>
    </row>
    <row r="7" spans="1:39" ht="32.25" customHeight="1" x14ac:dyDescent="0.25">
      <c r="A7" s="146"/>
      <c r="B7" s="82" t="s">
        <v>18</v>
      </c>
      <c r="C7" s="28">
        <v>0</v>
      </c>
      <c r="D7" s="143"/>
      <c r="E7" s="164"/>
      <c r="F7" s="28">
        <v>0</v>
      </c>
      <c r="G7" s="143"/>
      <c r="H7" s="164"/>
      <c r="I7" s="28">
        <v>0</v>
      </c>
      <c r="J7" s="143"/>
      <c r="K7" s="164"/>
      <c r="L7" s="28">
        <v>0</v>
      </c>
      <c r="M7" s="143"/>
      <c r="N7" s="164"/>
      <c r="O7" s="28">
        <v>0</v>
      </c>
      <c r="P7" s="143"/>
      <c r="Q7" s="164"/>
      <c r="R7" s="28">
        <v>0</v>
      </c>
      <c r="S7" s="143"/>
      <c r="T7" s="164"/>
      <c r="U7" s="28">
        <v>0</v>
      </c>
      <c r="V7" s="143"/>
      <c r="W7" s="164"/>
      <c r="X7" s="28">
        <v>0</v>
      </c>
      <c r="Y7" s="143"/>
      <c r="Z7" s="164"/>
      <c r="AA7" s="28">
        <v>0</v>
      </c>
      <c r="AB7" s="143"/>
      <c r="AC7" s="164"/>
      <c r="AD7" s="28">
        <v>1</v>
      </c>
      <c r="AE7" s="143"/>
      <c r="AF7" s="164"/>
      <c r="AG7" s="28">
        <v>0</v>
      </c>
      <c r="AH7" s="143"/>
      <c r="AI7" s="164"/>
      <c r="AJ7" s="28">
        <v>1</v>
      </c>
      <c r="AK7" s="143"/>
      <c r="AL7" s="87">
        <v>5</v>
      </c>
      <c r="AM7" s="192"/>
    </row>
    <row r="8" spans="1:39" ht="32.25" customHeight="1" x14ac:dyDescent="0.25">
      <c r="A8" s="146" t="s">
        <v>19</v>
      </c>
      <c r="B8" s="82" t="s">
        <v>20</v>
      </c>
      <c r="C8" s="28">
        <v>262</v>
      </c>
      <c r="D8" s="142">
        <f>+C8/C9</f>
        <v>1</v>
      </c>
      <c r="E8" s="144"/>
      <c r="F8" s="28">
        <v>190</v>
      </c>
      <c r="G8" s="142">
        <f>+F8/F9</f>
        <v>1</v>
      </c>
      <c r="H8" s="144"/>
      <c r="I8" s="28">
        <v>187</v>
      </c>
      <c r="J8" s="142">
        <f>+I8/I9</f>
        <v>1</v>
      </c>
      <c r="K8" s="144"/>
      <c r="L8" s="28">
        <v>182</v>
      </c>
      <c r="M8" s="142">
        <f>+L8/L9</f>
        <v>1</v>
      </c>
      <c r="N8" s="144"/>
      <c r="O8" s="28">
        <v>221</v>
      </c>
      <c r="P8" s="142">
        <f>+O8/O9</f>
        <v>1</v>
      </c>
      <c r="Q8" s="144"/>
      <c r="R8" s="28">
        <v>172</v>
      </c>
      <c r="S8" s="142">
        <f>+R8/R9</f>
        <v>1</v>
      </c>
      <c r="T8" s="144"/>
      <c r="U8" s="28">
        <v>186</v>
      </c>
      <c r="V8" s="142">
        <f>+U8/U9</f>
        <v>1</v>
      </c>
      <c r="W8" s="144"/>
      <c r="X8" s="28">
        <v>176</v>
      </c>
      <c r="Y8" s="142">
        <f>+X8/X9</f>
        <v>1</v>
      </c>
      <c r="Z8" s="144"/>
      <c r="AA8" s="28">
        <v>164</v>
      </c>
      <c r="AB8" s="142">
        <f>+AA8/AA9</f>
        <v>1</v>
      </c>
      <c r="AC8" s="144"/>
      <c r="AD8" s="28">
        <v>161</v>
      </c>
      <c r="AE8" s="142">
        <f>+AD8/AD9</f>
        <v>1</v>
      </c>
      <c r="AF8" s="144"/>
      <c r="AG8" s="28">
        <v>149</v>
      </c>
      <c r="AH8" s="142">
        <f>+AG8/AG9</f>
        <v>1</v>
      </c>
      <c r="AI8" s="144"/>
      <c r="AJ8" s="28">
        <v>142</v>
      </c>
      <c r="AK8" s="142">
        <f>+AJ8/AJ9</f>
        <v>1</v>
      </c>
      <c r="AL8" s="87">
        <f t="shared" si="0"/>
        <v>2192</v>
      </c>
      <c r="AM8" s="192">
        <f t="shared" ref="AM8" si="2">+AL8/AL9</f>
        <v>1</v>
      </c>
    </row>
    <row r="9" spans="1:39" ht="32.25" customHeight="1" x14ac:dyDescent="0.25">
      <c r="A9" s="146"/>
      <c r="B9" s="82" t="s">
        <v>21</v>
      </c>
      <c r="C9" s="28">
        <v>262</v>
      </c>
      <c r="D9" s="143"/>
      <c r="E9" s="145"/>
      <c r="F9" s="28">
        <v>190</v>
      </c>
      <c r="G9" s="143"/>
      <c r="H9" s="145"/>
      <c r="I9" s="28">
        <v>187</v>
      </c>
      <c r="J9" s="143"/>
      <c r="K9" s="145"/>
      <c r="L9" s="28">
        <v>182</v>
      </c>
      <c r="M9" s="143"/>
      <c r="N9" s="145"/>
      <c r="O9" s="28">
        <v>221</v>
      </c>
      <c r="P9" s="143"/>
      <c r="Q9" s="145"/>
      <c r="R9" s="28">
        <v>172</v>
      </c>
      <c r="S9" s="143"/>
      <c r="T9" s="145"/>
      <c r="U9" s="28">
        <v>186</v>
      </c>
      <c r="V9" s="143"/>
      <c r="W9" s="145"/>
      <c r="X9" s="28">
        <v>176</v>
      </c>
      <c r="Y9" s="143"/>
      <c r="Z9" s="145"/>
      <c r="AA9" s="28">
        <v>164</v>
      </c>
      <c r="AB9" s="143"/>
      <c r="AC9" s="145"/>
      <c r="AD9" s="28">
        <v>161</v>
      </c>
      <c r="AE9" s="143"/>
      <c r="AF9" s="145"/>
      <c r="AG9" s="28">
        <v>149</v>
      </c>
      <c r="AH9" s="143"/>
      <c r="AI9" s="145"/>
      <c r="AJ9" s="28">
        <v>142</v>
      </c>
      <c r="AK9" s="143"/>
      <c r="AL9" s="87">
        <f t="shared" si="0"/>
        <v>2192</v>
      </c>
      <c r="AM9" s="192"/>
    </row>
    <row r="10" spans="1:39" ht="56.25" customHeight="1" x14ac:dyDescent="0.25">
      <c r="A10" s="146" t="s">
        <v>22</v>
      </c>
      <c r="B10" s="82" t="s">
        <v>23</v>
      </c>
      <c r="C10" s="28">
        <v>0</v>
      </c>
      <c r="D10" s="142">
        <f>+C10/C11</f>
        <v>0</v>
      </c>
      <c r="E10" s="144"/>
      <c r="F10" s="28">
        <v>1</v>
      </c>
      <c r="G10" s="142">
        <f>+F10/F11</f>
        <v>3.4482758620689655E-2</v>
      </c>
      <c r="H10" s="144"/>
      <c r="I10" s="28">
        <v>0</v>
      </c>
      <c r="J10" s="142">
        <f>+I10/I11</f>
        <v>0</v>
      </c>
      <c r="K10" s="144"/>
      <c r="L10" s="28">
        <v>0</v>
      </c>
      <c r="M10" s="142">
        <f>+L10/L11</f>
        <v>0</v>
      </c>
      <c r="N10" s="144"/>
      <c r="O10" s="28">
        <v>0</v>
      </c>
      <c r="P10" s="142">
        <f>+O10/O11</f>
        <v>0</v>
      </c>
      <c r="Q10" s="144"/>
      <c r="R10" s="28">
        <v>0</v>
      </c>
      <c r="S10" s="142">
        <f>+R10/R11</f>
        <v>0</v>
      </c>
      <c r="T10" s="144"/>
      <c r="U10" s="28">
        <v>0</v>
      </c>
      <c r="V10" s="142">
        <f>+U10/U11</f>
        <v>0</v>
      </c>
      <c r="W10" s="144"/>
      <c r="X10" s="28">
        <v>0</v>
      </c>
      <c r="Y10" s="142">
        <f>+X10/X11</f>
        <v>0</v>
      </c>
      <c r="Z10" s="144"/>
      <c r="AA10" s="28">
        <v>0</v>
      </c>
      <c r="AB10" s="142">
        <f>+AA10/AA11</f>
        <v>0</v>
      </c>
      <c r="AC10" s="163" t="s">
        <v>205</v>
      </c>
      <c r="AD10" s="28">
        <v>2</v>
      </c>
      <c r="AE10" s="142">
        <f>+AD10/AD11</f>
        <v>4.7619047619047616E-2</v>
      </c>
      <c r="AF10" s="144"/>
      <c r="AG10" s="28">
        <v>0</v>
      </c>
      <c r="AH10" s="142">
        <f>+AG10/AG11</f>
        <v>0</v>
      </c>
      <c r="AI10" s="163" t="s">
        <v>205</v>
      </c>
      <c r="AJ10" s="28">
        <v>0</v>
      </c>
      <c r="AK10" s="142">
        <f>+AJ10/AJ11</f>
        <v>0</v>
      </c>
      <c r="AL10" s="87">
        <f t="shared" si="0"/>
        <v>3</v>
      </c>
      <c r="AM10" s="192">
        <f>(AL10/AL11)*100</f>
        <v>0.63694267515923575</v>
      </c>
    </row>
    <row r="11" spans="1:39" ht="48.75" customHeight="1" x14ac:dyDescent="0.25">
      <c r="A11" s="146"/>
      <c r="B11" s="82" t="s">
        <v>24</v>
      </c>
      <c r="C11" s="28">
        <v>42</v>
      </c>
      <c r="D11" s="143"/>
      <c r="E11" s="145" t="s">
        <v>25</v>
      </c>
      <c r="F11" s="28">
        <v>29</v>
      </c>
      <c r="G11" s="143"/>
      <c r="H11" s="145" t="s">
        <v>25</v>
      </c>
      <c r="I11" s="28">
        <v>40</v>
      </c>
      <c r="J11" s="143"/>
      <c r="K11" s="145" t="s">
        <v>25</v>
      </c>
      <c r="L11" s="28">
        <v>24</v>
      </c>
      <c r="M11" s="143"/>
      <c r="N11" s="145" t="s">
        <v>25</v>
      </c>
      <c r="O11" s="28">
        <v>37</v>
      </c>
      <c r="P11" s="143"/>
      <c r="Q11" s="145" t="s">
        <v>25</v>
      </c>
      <c r="R11" s="28">
        <v>38</v>
      </c>
      <c r="S11" s="143"/>
      <c r="T11" s="145" t="s">
        <v>25</v>
      </c>
      <c r="U11" s="28">
        <v>64</v>
      </c>
      <c r="V11" s="143"/>
      <c r="W11" s="145" t="s">
        <v>25</v>
      </c>
      <c r="X11" s="28">
        <v>44</v>
      </c>
      <c r="Y11" s="143"/>
      <c r="Z11" s="145" t="s">
        <v>25</v>
      </c>
      <c r="AA11" s="28">
        <v>49</v>
      </c>
      <c r="AB11" s="143"/>
      <c r="AC11" s="164"/>
      <c r="AD11" s="28">
        <v>42</v>
      </c>
      <c r="AE11" s="143"/>
      <c r="AF11" s="145" t="s">
        <v>25</v>
      </c>
      <c r="AG11" s="28">
        <v>36</v>
      </c>
      <c r="AH11" s="143"/>
      <c r="AI11" s="164"/>
      <c r="AJ11" s="28">
        <v>26</v>
      </c>
      <c r="AK11" s="143"/>
      <c r="AL11" s="87">
        <f t="shared" si="0"/>
        <v>471</v>
      </c>
      <c r="AM11" s="192"/>
    </row>
    <row r="12" spans="1:39" ht="32.25" customHeight="1" x14ac:dyDescent="0.25">
      <c r="A12" s="146" t="s">
        <v>26</v>
      </c>
      <c r="B12" s="82" t="s">
        <v>27</v>
      </c>
      <c r="C12" s="28">
        <v>0</v>
      </c>
      <c r="D12" s="142">
        <f>+C12/C13</f>
        <v>0</v>
      </c>
      <c r="E12" s="144"/>
      <c r="F12" s="28">
        <v>0</v>
      </c>
      <c r="G12" s="142">
        <f>+F12/F13</f>
        <v>0</v>
      </c>
      <c r="H12" s="144"/>
      <c r="I12" s="28">
        <v>0</v>
      </c>
      <c r="J12" s="142">
        <f>+I12/I13</f>
        <v>0</v>
      </c>
      <c r="K12" s="144"/>
      <c r="L12" s="28">
        <v>0</v>
      </c>
      <c r="M12" s="142">
        <f>+L12/L13</f>
        <v>0</v>
      </c>
      <c r="N12" s="144"/>
      <c r="O12" s="28">
        <v>0</v>
      </c>
      <c r="P12" s="142">
        <f>+O12/O13</f>
        <v>0</v>
      </c>
      <c r="Q12" s="144"/>
      <c r="R12" s="28">
        <v>0</v>
      </c>
      <c r="S12" s="142">
        <f>+R12/R13</f>
        <v>0</v>
      </c>
      <c r="T12" s="144"/>
      <c r="U12" s="28">
        <v>0</v>
      </c>
      <c r="V12" s="142">
        <f>+U12/U13</f>
        <v>0</v>
      </c>
      <c r="W12" s="144"/>
      <c r="X12" s="28">
        <v>0</v>
      </c>
      <c r="Y12" s="142">
        <f>+X12/X13</f>
        <v>0</v>
      </c>
      <c r="Z12" s="144"/>
      <c r="AA12" s="28">
        <v>0</v>
      </c>
      <c r="AB12" s="142">
        <f>+AA12/AA13</f>
        <v>0</v>
      </c>
      <c r="AC12" s="144"/>
      <c r="AD12" s="28">
        <v>0</v>
      </c>
      <c r="AE12" s="142">
        <f>+AD12/AD13</f>
        <v>0</v>
      </c>
      <c r="AF12" s="144"/>
      <c r="AG12" s="28">
        <v>0</v>
      </c>
      <c r="AH12" s="142">
        <f>+AG12/AG13</f>
        <v>0</v>
      </c>
      <c r="AI12" s="144"/>
      <c r="AJ12" s="28">
        <v>0</v>
      </c>
      <c r="AK12" s="142">
        <f>+AJ12/AJ13</f>
        <v>0</v>
      </c>
      <c r="AL12" s="87">
        <f t="shared" si="0"/>
        <v>0</v>
      </c>
      <c r="AM12" s="192">
        <f t="shared" ref="AM12" si="3">+AL12/AL13</f>
        <v>0</v>
      </c>
    </row>
    <row r="13" spans="1:39" ht="32.25" customHeight="1" x14ac:dyDescent="0.25">
      <c r="A13" s="146"/>
      <c r="B13" s="82" t="s">
        <v>28</v>
      </c>
      <c r="C13" s="28">
        <v>51</v>
      </c>
      <c r="D13" s="143"/>
      <c r="E13" s="145"/>
      <c r="F13" s="28">
        <v>37</v>
      </c>
      <c r="G13" s="143"/>
      <c r="H13" s="145"/>
      <c r="I13" s="28">
        <v>43</v>
      </c>
      <c r="J13" s="143"/>
      <c r="K13" s="145"/>
      <c r="L13" s="28">
        <v>29</v>
      </c>
      <c r="M13" s="143"/>
      <c r="N13" s="145"/>
      <c r="O13" s="28">
        <v>47</v>
      </c>
      <c r="P13" s="143"/>
      <c r="Q13" s="145"/>
      <c r="R13" s="28">
        <v>50</v>
      </c>
      <c r="S13" s="143"/>
      <c r="T13" s="145"/>
      <c r="U13" s="28">
        <v>74</v>
      </c>
      <c r="V13" s="143"/>
      <c r="W13" s="145"/>
      <c r="X13" s="28">
        <v>105</v>
      </c>
      <c r="Y13" s="143"/>
      <c r="Z13" s="145"/>
      <c r="AA13" s="28">
        <v>66</v>
      </c>
      <c r="AB13" s="143"/>
      <c r="AC13" s="145"/>
      <c r="AD13" s="28">
        <v>46</v>
      </c>
      <c r="AE13" s="143"/>
      <c r="AF13" s="145"/>
      <c r="AG13" s="28">
        <v>42</v>
      </c>
      <c r="AH13" s="143"/>
      <c r="AI13" s="145"/>
      <c r="AJ13" s="28">
        <v>33</v>
      </c>
      <c r="AK13" s="143"/>
      <c r="AL13" s="87">
        <f t="shared" si="0"/>
        <v>623</v>
      </c>
      <c r="AM13" s="192"/>
    </row>
    <row r="14" spans="1:39" ht="32.25" customHeight="1" x14ac:dyDescent="0.25">
      <c r="A14" s="146" t="s">
        <v>30</v>
      </c>
      <c r="B14" s="82" t="s">
        <v>31</v>
      </c>
      <c r="C14" s="28">
        <v>0</v>
      </c>
      <c r="D14" s="142">
        <f>+C14/C15</f>
        <v>0</v>
      </c>
      <c r="E14" s="144"/>
      <c r="F14" s="28">
        <v>0</v>
      </c>
      <c r="G14" s="142">
        <f>+F14/F15</f>
        <v>0</v>
      </c>
      <c r="H14" s="144"/>
      <c r="I14" s="28">
        <v>0</v>
      </c>
      <c r="J14" s="142">
        <f>+I14/I15</f>
        <v>0</v>
      </c>
      <c r="K14" s="144"/>
      <c r="L14" s="28">
        <v>0</v>
      </c>
      <c r="M14" s="142">
        <f>+L14/L15</f>
        <v>0</v>
      </c>
      <c r="N14" s="144"/>
      <c r="O14" s="28">
        <v>0</v>
      </c>
      <c r="P14" s="142">
        <f>+O14/O15</f>
        <v>0</v>
      </c>
      <c r="Q14" s="144"/>
      <c r="R14" s="28">
        <v>0</v>
      </c>
      <c r="S14" s="142">
        <f>+R14/R15</f>
        <v>0</v>
      </c>
      <c r="T14" s="144"/>
      <c r="U14" s="28">
        <v>0</v>
      </c>
      <c r="V14" s="142">
        <f>+U14/U15</f>
        <v>0</v>
      </c>
      <c r="W14" s="144"/>
      <c r="X14" s="28">
        <v>0</v>
      </c>
      <c r="Y14" s="142">
        <f>+X14/X15</f>
        <v>0</v>
      </c>
      <c r="Z14" s="163" t="s">
        <v>195</v>
      </c>
      <c r="AA14" s="28">
        <v>0</v>
      </c>
      <c r="AB14" s="142">
        <f>+AA14/AA15</f>
        <v>0</v>
      </c>
      <c r="AC14" s="163"/>
      <c r="AD14" s="28">
        <v>0</v>
      </c>
      <c r="AE14" s="142">
        <f>+AD14/AD15</f>
        <v>0</v>
      </c>
      <c r="AF14" s="163"/>
      <c r="AG14" s="28">
        <v>0</v>
      </c>
      <c r="AH14" s="142">
        <f>+AG14/AG15</f>
        <v>0</v>
      </c>
      <c r="AI14" s="163"/>
      <c r="AJ14" s="28">
        <v>0</v>
      </c>
      <c r="AK14" s="142">
        <f>+AJ14/AJ15</f>
        <v>0</v>
      </c>
      <c r="AL14" s="87">
        <f t="shared" si="0"/>
        <v>0</v>
      </c>
      <c r="AM14" s="192">
        <f t="shared" ref="AM14" si="4">+AL14/AL15</f>
        <v>0</v>
      </c>
    </row>
    <row r="15" spans="1:39" ht="32.25" customHeight="1" x14ac:dyDescent="0.25">
      <c r="A15" s="146"/>
      <c r="B15" s="82" t="s">
        <v>32</v>
      </c>
      <c r="C15" s="28">
        <v>20</v>
      </c>
      <c r="D15" s="143"/>
      <c r="E15" s="145"/>
      <c r="F15" s="28">
        <v>29</v>
      </c>
      <c r="G15" s="143"/>
      <c r="H15" s="145"/>
      <c r="I15" s="28">
        <v>13</v>
      </c>
      <c r="J15" s="143"/>
      <c r="K15" s="145"/>
      <c r="L15" s="28">
        <v>11</v>
      </c>
      <c r="M15" s="143"/>
      <c r="N15" s="145"/>
      <c r="O15" s="28">
        <v>23</v>
      </c>
      <c r="P15" s="143"/>
      <c r="Q15" s="145"/>
      <c r="R15" s="28">
        <v>16</v>
      </c>
      <c r="S15" s="143"/>
      <c r="T15" s="145"/>
      <c r="U15" s="28">
        <v>6</v>
      </c>
      <c r="V15" s="143"/>
      <c r="W15" s="145"/>
      <c r="X15" s="28">
        <v>1</v>
      </c>
      <c r="Y15" s="143"/>
      <c r="Z15" s="164"/>
      <c r="AA15" s="28">
        <v>10</v>
      </c>
      <c r="AB15" s="143"/>
      <c r="AC15" s="164"/>
      <c r="AD15" s="28">
        <v>16</v>
      </c>
      <c r="AE15" s="143"/>
      <c r="AF15" s="164"/>
      <c r="AG15" s="28">
        <v>8</v>
      </c>
      <c r="AH15" s="143"/>
      <c r="AI15" s="164"/>
      <c r="AJ15" s="28">
        <v>5</v>
      </c>
      <c r="AK15" s="143"/>
      <c r="AL15" s="87">
        <f t="shared" si="0"/>
        <v>158</v>
      </c>
      <c r="AM15" s="192"/>
    </row>
    <row r="16" spans="1:39" ht="32.25" customHeight="1" x14ac:dyDescent="0.25">
      <c r="A16" s="146" t="s">
        <v>33</v>
      </c>
      <c r="B16" s="82" t="s">
        <v>34</v>
      </c>
      <c r="C16" s="28">
        <v>267</v>
      </c>
      <c r="D16" s="142">
        <f>+C16/C17</f>
        <v>1</v>
      </c>
      <c r="E16" s="144"/>
      <c r="F16" s="28">
        <v>191</v>
      </c>
      <c r="G16" s="142">
        <f>+F16/F17</f>
        <v>1</v>
      </c>
      <c r="H16" s="144"/>
      <c r="I16" s="28">
        <v>187</v>
      </c>
      <c r="J16" s="142">
        <f>+I16/I17</f>
        <v>1</v>
      </c>
      <c r="K16" s="144"/>
      <c r="L16" s="28">
        <v>126</v>
      </c>
      <c r="M16" s="142">
        <f>+L16/L17</f>
        <v>1</v>
      </c>
      <c r="N16" s="144"/>
      <c r="O16" s="28">
        <v>218</v>
      </c>
      <c r="P16" s="142">
        <f>+O16/O17</f>
        <v>1</v>
      </c>
      <c r="Q16" s="144"/>
      <c r="R16" s="28">
        <v>175</v>
      </c>
      <c r="S16" s="142">
        <f>+R16/R17</f>
        <v>1</v>
      </c>
      <c r="T16" s="144"/>
      <c r="U16" s="28">
        <v>186</v>
      </c>
      <c r="V16" s="142">
        <f>+U16/U17</f>
        <v>1</v>
      </c>
      <c r="W16" s="144"/>
      <c r="X16" s="28">
        <v>181</v>
      </c>
      <c r="Y16" s="142">
        <f>+X16/X17</f>
        <v>1</v>
      </c>
      <c r="Z16" s="144"/>
      <c r="AA16" s="28">
        <v>165</v>
      </c>
      <c r="AB16" s="142">
        <f>+AA16/AA17</f>
        <v>1</v>
      </c>
      <c r="AC16" s="144"/>
      <c r="AD16" s="28">
        <v>159</v>
      </c>
      <c r="AE16" s="142">
        <f>+AD16/AD17</f>
        <v>1</v>
      </c>
      <c r="AF16" s="144"/>
      <c r="AG16" s="28">
        <v>151</v>
      </c>
      <c r="AH16" s="142">
        <f>+AG16/AG17</f>
        <v>1</v>
      </c>
      <c r="AI16" s="144"/>
      <c r="AJ16" s="28">
        <v>143</v>
      </c>
      <c r="AK16" s="142">
        <f>+AJ16/AJ17</f>
        <v>1</v>
      </c>
      <c r="AL16" s="87">
        <f t="shared" si="0"/>
        <v>2149</v>
      </c>
      <c r="AM16" s="192">
        <f t="shared" ref="AM16" si="5">+AL16/AL17</f>
        <v>1</v>
      </c>
    </row>
    <row r="17" spans="1:39" ht="32.25" customHeight="1" x14ac:dyDescent="0.25">
      <c r="A17" s="146"/>
      <c r="B17" s="82" t="s">
        <v>9</v>
      </c>
      <c r="C17" s="28">
        <v>267</v>
      </c>
      <c r="D17" s="143"/>
      <c r="E17" s="145"/>
      <c r="F17" s="28">
        <v>191</v>
      </c>
      <c r="G17" s="143"/>
      <c r="H17" s="145"/>
      <c r="I17" s="28">
        <v>187</v>
      </c>
      <c r="J17" s="143"/>
      <c r="K17" s="145"/>
      <c r="L17" s="28">
        <v>126</v>
      </c>
      <c r="M17" s="143"/>
      <c r="N17" s="145"/>
      <c r="O17" s="28">
        <v>218</v>
      </c>
      <c r="P17" s="143"/>
      <c r="Q17" s="145"/>
      <c r="R17" s="28">
        <v>175</v>
      </c>
      <c r="S17" s="143"/>
      <c r="T17" s="145"/>
      <c r="U17" s="28">
        <v>186</v>
      </c>
      <c r="V17" s="143"/>
      <c r="W17" s="145"/>
      <c r="X17" s="28">
        <v>181</v>
      </c>
      <c r="Y17" s="143"/>
      <c r="Z17" s="145"/>
      <c r="AA17" s="28">
        <v>165</v>
      </c>
      <c r="AB17" s="143"/>
      <c r="AC17" s="145"/>
      <c r="AD17" s="28">
        <v>159</v>
      </c>
      <c r="AE17" s="143"/>
      <c r="AF17" s="145"/>
      <c r="AG17" s="28">
        <v>151</v>
      </c>
      <c r="AH17" s="143"/>
      <c r="AI17" s="145"/>
      <c r="AJ17" s="28">
        <v>143</v>
      </c>
      <c r="AK17" s="143"/>
      <c r="AL17" s="87">
        <f t="shared" si="0"/>
        <v>2149</v>
      </c>
      <c r="AM17" s="192"/>
    </row>
    <row r="18" spans="1:39" ht="32.25" customHeight="1" x14ac:dyDescent="0.25">
      <c r="A18" s="146" t="s">
        <v>35</v>
      </c>
      <c r="B18" s="82" t="s">
        <v>36</v>
      </c>
      <c r="C18" s="28">
        <v>0</v>
      </c>
      <c r="D18" s="142">
        <v>0</v>
      </c>
      <c r="E18" s="144"/>
      <c r="F18" s="28">
        <v>0</v>
      </c>
      <c r="G18" s="142">
        <v>0</v>
      </c>
      <c r="H18" s="144"/>
      <c r="I18" s="28">
        <v>0</v>
      </c>
      <c r="J18" s="142">
        <v>0</v>
      </c>
      <c r="K18" s="144"/>
      <c r="L18" s="28">
        <v>0</v>
      </c>
      <c r="M18" s="142">
        <v>0</v>
      </c>
      <c r="N18" s="144"/>
      <c r="O18" s="28">
        <v>0</v>
      </c>
      <c r="P18" s="142">
        <v>0</v>
      </c>
      <c r="Q18" s="144"/>
      <c r="R18" s="28">
        <v>0</v>
      </c>
      <c r="S18" s="142">
        <v>0</v>
      </c>
      <c r="T18" s="144"/>
      <c r="U18" s="28">
        <v>0</v>
      </c>
      <c r="V18" s="142">
        <v>0</v>
      </c>
      <c r="W18" s="144"/>
      <c r="X18" s="28">
        <v>0</v>
      </c>
      <c r="Y18" s="142">
        <v>0</v>
      </c>
      <c r="Z18" s="144"/>
      <c r="AA18" s="28">
        <v>0</v>
      </c>
      <c r="AB18" s="142">
        <v>0</v>
      </c>
      <c r="AC18" s="144"/>
      <c r="AD18" s="28">
        <v>1</v>
      </c>
      <c r="AE18" s="142">
        <v>0</v>
      </c>
      <c r="AF18" s="144"/>
      <c r="AG18" s="28">
        <v>0</v>
      </c>
      <c r="AH18" s="142">
        <v>0</v>
      </c>
      <c r="AI18" s="144"/>
      <c r="AJ18" s="28">
        <v>0</v>
      </c>
      <c r="AK18" s="142">
        <v>0</v>
      </c>
      <c r="AL18" s="87">
        <f t="shared" si="0"/>
        <v>1</v>
      </c>
      <c r="AM18" s="192">
        <f t="shared" ref="AM18" si="6">+AL18/AL19</f>
        <v>1</v>
      </c>
    </row>
    <row r="19" spans="1:39" ht="32.25" customHeight="1" x14ac:dyDescent="0.25">
      <c r="A19" s="146"/>
      <c r="B19" s="82" t="s">
        <v>37</v>
      </c>
      <c r="C19" s="28">
        <v>0</v>
      </c>
      <c r="D19" s="143"/>
      <c r="E19" s="145"/>
      <c r="F19" s="28">
        <v>0</v>
      </c>
      <c r="G19" s="143"/>
      <c r="H19" s="145"/>
      <c r="I19" s="28">
        <v>0</v>
      </c>
      <c r="J19" s="143"/>
      <c r="K19" s="145"/>
      <c r="L19" s="28">
        <v>0</v>
      </c>
      <c r="M19" s="143"/>
      <c r="N19" s="145"/>
      <c r="O19" s="28">
        <v>0</v>
      </c>
      <c r="P19" s="143"/>
      <c r="Q19" s="145"/>
      <c r="R19" s="28">
        <v>0</v>
      </c>
      <c r="S19" s="143"/>
      <c r="T19" s="145"/>
      <c r="U19" s="28">
        <v>0</v>
      </c>
      <c r="V19" s="143"/>
      <c r="W19" s="145"/>
      <c r="X19" s="28">
        <v>0</v>
      </c>
      <c r="Y19" s="143"/>
      <c r="Z19" s="145"/>
      <c r="AA19" s="28">
        <v>0</v>
      </c>
      <c r="AB19" s="143"/>
      <c r="AC19" s="145"/>
      <c r="AD19" s="28">
        <v>1</v>
      </c>
      <c r="AE19" s="143"/>
      <c r="AF19" s="145"/>
      <c r="AG19" s="28">
        <v>0</v>
      </c>
      <c r="AH19" s="143"/>
      <c r="AI19" s="145"/>
      <c r="AJ19" s="28">
        <v>0</v>
      </c>
      <c r="AK19" s="143"/>
      <c r="AL19" s="87">
        <f t="shared" si="0"/>
        <v>1</v>
      </c>
      <c r="AM19" s="192"/>
    </row>
    <row r="20" spans="1:39" ht="32.25" customHeight="1" x14ac:dyDescent="0.25">
      <c r="A20" s="146" t="s">
        <v>42</v>
      </c>
      <c r="B20" s="82" t="s">
        <v>43</v>
      </c>
      <c r="C20" s="28">
        <v>1</v>
      </c>
      <c r="D20" s="142">
        <f>C20/C21</f>
        <v>1</v>
      </c>
      <c r="E20" s="144"/>
      <c r="F20" s="28">
        <v>1</v>
      </c>
      <c r="G20" s="142">
        <f>F20/F21</f>
        <v>1</v>
      </c>
      <c r="H20" s="144"/>
      <c r="I20" s="28">
        <v>0</v>
      </c>
      <c r="J20" s="142" t="e">
        <f>I20/I21</f>
        <v>#DIV/0!</v>
      </c>
      <c r="K20" s="163" t="s">
        <v>181</v>
      </c>
      <c r="L20" s="28">
        <v>1</v>
      </c>
      <c r="M20" s="142">
        <f>L20/L21</f>
        <v>1</v>
      </c>
      <c r="N20" s="163"/>
      <c r="O20" s="28">
        <v>0</v>
      </c>
      <c r="P20" s="142" t="e">
        <f>O20/O21</f>
        <v>#DIV/0!</v>
      </c>
      <c r="Q20" s="163" t="s">
        <v>181</v>
      </c>
      <c r="R20" s="28">
        <v>0</v>
      </c>
      <c r="S20" s="142" t="e">
        <f>R20/R21</f>
        <v>#DIV/0!</v>
      </c>
      <c r="T20" s="163" t="s">
        <v>181</v>
      </c>
      <c r="U20" s="28">
        <v>0</v>
      </c>
      <c r="V20" s="142" t="e">
        <f>U20/U21</f>
        <v>#DIV/0!</v>
      </c>
      <c r="W20" s="163" t="s">
        <v>181</v>
      </c>
      <c r="X20" s="28">
        <v>0</v>
      </c>
      <c r="Y20" s="142" t="e">
        <f>X20/X21</f>
        <v>#DIV/0!</v>
      </c>
      <c r="Z20" s="163" t="s">
        <v>181</v>
      </c>
      <c r="AA20" s="28">
        <v>0</v>
      </c>
      <c r="AB20" s="142" t="e">
        <f>AA20/AA21</f>
        <v>#DIV/0!</v>
      </c>
      <c r="AC20" s="163" t="s">
        <v>181</v>
      </c>
      <c r="AD20" s="28">
        <v>0</v>
      </c>
      <c r="AE20" s="142" t="e">
        <f>AD20/AD21</f>
        <v>#DIV/0!</v>
      </c>
      <c r="AF20" s="163" t="s">
        <v>181</v>
      </c>
      <c r="AG20" s="28">
        <v>0</v>
      </c>
      <c r="AH20" s="142" t="e">
        <f>AG20/AG21</f>
        <v>#DIV/0!</v>
      </c>
      <c r="AI20" s="163" t="s">
        <v>181</v>
      </c>
      <c r="AJ20" s="28">
        <v>0</v>
      </c>
      <c r="AK20" s="142" t="e">
        <f>AJ20/AJ21</f>
        <v>#DIV/0!</v>
      </c>
      <c r="AL20" s="87">
        <f t="shared" si="0"/>
        <v>3</v>
      </c>
      <c r="AM20" s="192">
        <f t="shared" ref="AM20" si="7">+AL20/AL21</f>
        <v>1</v>
      </c>
    </row>
    <row r="21" spans="1:39" ht="32.25" customHeight="1" x14ac:dyDescent="0.25">
      <c r="A21" s="146"/>
      <c r="B21" s="82" t="s">
        <v>44</v>
      </c>
      <c r="C21" s="28">
        <v>1</v>
      </c>
      <c r="D21" s="143"/>
      <c r="E21" s="145"/>
      <c r="F21" s="28">
        <v>1</v>
      </c>
      <c r="G21" s="143"/>
      <c r="H21" s="145"/>
      <c r="I21" s="28">
        <v>0</v>
      </c>
      <c r="J21" s="143"/>
      <c r="K21" s="164"/>
      <c r="L21" s="28">
        <v>1</v>
      </c>
      <c r="M21" s="143"/>
      <c r="N21" s="164"/>
      <c r="O21" s="28">
        <v>0</v>
      </c>
      <c r="P21" s="143"/>
      <c r="Q21" s="164"/>
      <c r="R21" s="28">
        <v>0</v>
      </c>
      <c r="S21" s="143"/>
      <c r="T21" s="164"/>
      <c r="U21" s="28">
        <v>0</v>
      </c>
      <c r="V21" s="143"/>
      <c r="W21" s="164"/>
      <c r="X21" s="28">
        <v>0</v>
      </c>
      <c r="Y21" s="143"/>
      <c r="Z21" s="164"/>
      <c r="AA21" s="28">
        <v>0</v>
      </c>
      <c r="AB21" s="143"/>
      <c r="AC21" s="164"/>
      <c r="AD21" s="28">
        <v>0</v>
      </c>
      <c r="AE21" s="143"/>
      <c r="AF21" s="164"/>
      <c r="AG21" s="28">
        <v>0</v>
      </c>
      <c r="AH21" s="143"/>
      <c r="AI21" s="164"/>
      <c r="AJ21" s="28">
        <v>0</v>
      </c>
      <c r="AK21" s="143"/>
      <c r="AL21" s="87">
        <f t="shared" si="0"/>
        <v>3</v>
      </c>
      <c r="AM21" s="192"/>
    </row>
    <row r="22" spans="1:39" ht="32.25" customHeight="1" x14ac:dyDescent="0.25">
      <c r="A22" s="146" t="s">
        <v>55</v>
      </c>
      <c r="B22" s="82" t="s">
        <v>56</v>
      </c>
      <c r="C22" s="28">
        <v>0</v>
      </c>
      <c r="D22" s="142" t="e">
        <f>+C22/C23</f>
        <v>#DIV/0!</v>
      </c>
      <c r="E22" s="144" t="s">
        <v>174</v>
      </c>
      <c r="F22" s="28">
        <v>16</v>
      </c>
      <c r="G22" s="142">
        <f>+F22/F23</f>
        <v>9.4117647058823528E-2</v>
      </c>
      <c r="H22" s="144"/>
      <c r="I22" s="28">
        <v>3</v>
      </c>
      <c r="J22" s="142">
        <f>+I22/I23</f>
        <v>0.05</v>
      </c>
      <c r="K22" s="144"/>
      <c r="L22" s="28">
        <v>0</v>
      </c>
      <c r="M22" s="142">
        <f>+L22/L23</f>
        <v>0</v>
      </c>
      <c r="N22" s="144"/>
      <c r="O22" s="28">
        <v>1</v>
      </c>
      <c r="P22" s="142">
        <f>+O22/O23</f>
        <v>1.7543859649122806E-2</v>
      </c>
      <c r="Q22" s="144"/>
      <c r="R22" s="28">
        <v>0</v>
      </c>
      <c r="S22" s="142">
        <f>+R22/R23</f>
        <v>0</v>
      </c>
      <c r="T22" s="144"/>
      <c r="U22" s="28">
        <v>0</v>
      </c>
      <c r="V22" s="142">
        <f>+U22/U23</f>
        <v>0</v>
      </c>
      <c r="W22" s="144"/>
      <c r="X22" s="28">
        <v>90</v>
      </c>
      <c r="Y22" s="142">
        <f>+X22/X23</f>
        <v>11.25</v>
      </c>
      <c r="Z22" s="144"/>
      <c r="AA22" s="28">
        <v>0</v>
      </c>
      <c r="AB22" s="142">
        <f>+AA22/AA23</f>
        <v>0</v>
      </c>
      <c r="AC22" s="163" t="s">
        <v>199</v>
      </c>
      <c r="AD22" s="28">
        <v>16</v>
      </c>
      <c r="AE22" s="142">
        <f>+AD22/AD23</f>
        <v>6.25E-2</v>
      </c>
      <c r="AF22" s="144"/>
      <c r="AG22" s="28">
        <v>36</v>
      </c>
      <c r="AH22" s="142">
        <f>+AG22/AG23</f>
        <v>0.15384615384615385</v>
      </c>
      <c r="AI22" s="144"/>
      <c r="AJ22" s="28">
        <v>21</v>
      </c>
      <c r="AK22" s="142">
        <f>+AJ22/AJ23</f>
        <v>0.10396039603960396</v>
      </c>
      <c r="AL22" s="87">
        <f t="shared" si="0"/>
        <v>183</v>
      </c>
      <c r="AM22" s="192">
        <f>(AL22/AL23)*100</f>
        <v>15.378151260504202</v>
      </c>
    </row>
    <row r="23" spans="1:39" ht="32.25" customHeight="1" x14ac:dyDescent="0.25">
      <c r="A23" s="146"/>
      <c r="B23" s="82" t="s">
        <v>57</v>
      </c>
      <c r="C23" s="28">
        <v>0</v>
      </c>
      <c r="D23" s="143"/>
      <c r="E23" s="145"/>
      <c r="F23" s="28">
        <v>170</v>
      </c>
      <c r="G23" s="143"/>
      <c r="H23" s="145"/>
      <c r="I23" s="28">
        <v>60</v>
      </c>
      <c r="J23" s="143"/>
      <c r="K23" s="145"/>
      <c r="L23" s="28">
        <v>52</v>
      </c>
      <c r="M23" s="143"/>
      <c r="N23" s="145"/>
      <c r="O23" s="28">
        <v>57</v>
      </c>
      <c r="P23" s="143"/>
      <c r="Q23" s="145"/>
      <c r="R23" s="28">
        <v>72</v>
      </c>
      <c r="S23" s="143"/>
      <c r="T23" s="145"/>
      <c r="U23" s="28">
        <v>33</v>
      </c>
      <c r="V23" s="143"/>
      <c r="W23" s="145"/>
      <c r="X23" s="28">
        <v>8</v>
      </c>
      <c r="Y23" s="143"/>
      <c r="Z23" s="145"/>
      <c r="AA23" s="28">
        <v>46</v>
      </c>
      <c r="AB23" s="143"/>
      <c r="AC23" s="164"/>
      <c r="AD23" s="28">
        <v>256</v>
      </c>
      <c r="AE23" s="143"/>
      <c r="AF23" s="145"/>
      <c r="AG23" s="28">
        <v>234</v>
      </c>
      <c r="AH23" s="143"/>
      <c r="AI23" s="145"/>
      <c r="AJ23" s="28">
        <v>202</v>
      </c>
      <c r="AK23" s="143"/>
      <c r="AL23" s="87">
        <f t="shared" si="0"/>
        <v>1190</v>
      </c>
      <c r="AM23" s="192"/>
    </row>
    <row r="24" spans="1:39" ht="32.25" customHeight="1" x14ac:dyDescent="0.25">
      <c r="A24" s="146" t="s">
        <v>58</v>
      </c>
      <c r="B24" s="82" t="s">
        <v>59</v>
      </c>
      <c r="C24" s="28">
        <v>0</v>
      </c>
      <c r="D24" s="142" t="e">
        <f>+C24/C25</f>
        <v>#DIV/0!</v>
      </c>
      <c r="E24" s="144" t="s">
        <v>174</v>
      </c>
      <c r="F24" s="28">
        <v>8</v>
      </c>
      <c r="G24" s="142">
        <f>+F24/F25</f>
        <v>0.11940298507462686</v>
      </c>
      <c r="H24" s="144"/>
      <c r="I24" s="28">
        <v>12</v>
      </c>
      <c r="J24" s="142">
        <f>+I24/I25</f>
        <v>0.25</v>
      </c>
      <c r="K24" s="144"/>
      <c r="L24" s="28">
        <v>1</v>
      </c>
      <c r="M24" s="142">
        <f>+L24/L25</f>
        <v>2.4390243902439025E-2</v>
      </c>
      <c r="N24" s="144"/>
      <c r="O24" s="28">
        <v>3</v>
      </c>
      <c r="P24" s="142">
        <f>+O24/O25</f>
        <v>8.5714285714285715E-2</v>
      </c>
      <c r="Q24" s="144"/>
      <c r="R24" s="28">
        <v>4</v>
      </c>
      <c r="S24" s="142">
        <f>+R24/R25</f>
        <v>8.1632653061224483E-2</v>
      </c>
      <c r="T24" s="144"/>
      <c r="U24" s="28">
        <v>1</v>
      </c>
      <c r="V24" s="142">
        <f>+U24/U25</f>
        <v>2.8571428571428571E-2</v>
      </c>
      <c r="W24" s="144"/>
      <c r="X24" s="28">
        <v>54</v>
      </c>
      <c r="Y24" s="142">
        <f>+X24/X25</f>
        <v>13.5</v>
      </c>
      <c r="Z24" s="144"/>
      <c r="AA24" s="28">
        <v>0</v>
      </c>
      <c r="AB24" s="142">
        <f>+AA24/AA25</f>
        <v>0</v>
      </c>
      <c r="AC24" s="163" t="s">
        <v>199</v>
      </c>
      <c r="AD24" s="28">
        <v>6</v>
      </c>
      <c r="AE24" s="142">
        <f>+AD24/AD25</f>
        <v>6.1224489795918366E-2</v>
      </c>
      <c r="AF24" s="144"/>
      <c r="AG24" s="28">
        <v>13</v>
      </c>
      <c r="AH24" s="142">
        <f>+AG24/AG25</f>
        <v>0.14772727272727273</v>
      </c>
      <c r="AI24" s="144"/>
      <c r="AJ24" s="28">
        <v>12</v>
      </c>
      <c r="AK24" s="142">
        <f>+AJ24/AJ25</f>
        <v>0.13793103448275862</v>
      </c>
      <c r="AL24" s="87">
        <f t="shared" si="0"/>
        <v>114</v>
      </c>
      <c r="AM24" s="192">
        <f>(AL24/AL25)*100</f>
        <v>19.35483870967742</v>
      </c>
    </row>
    <row r="25" spans="1:39" ht="32.25" customHeight="1" x14ac:dyDescent="0.25">
      <c r="A25" s="146"/>
      <c r="B25" s="82" t="s">
        <v>60</v>
      </c>
      <c r="C25" s="28">
        <v>0</v>
      </c>
      <c r="D25" s="143"/>
      <c r="E25" s="145"/>
      <c r="F25" s="28">
        <v>67</v>
      </c>
      <c r="G25" s="143"/>
      <c r="H25" s="145"/>
      <c r="I25" s="28">
        <v>48</v>
      </c>
      <c r="J25" s="143"/>
      <c r="K25" s="145"/>
      <c r="L25" s="28">
        <v>41</v>
      </c>
      <c r="M25" s="143"/>
      <c r="N25" s="145"/>
      <c r="O25" s="28">
        <v>35</v>
      </c>
      <c r="P25" s="143"/>
      <c r="Q25" s="145"/>
      <c r="R25" s="28">
        <v>49</v>
      </c>
      <c r="S25" s="143"/>
      <c r="T25" s="145"/>
      <c r="U25" s="28">
        <v>35</v>
      </c>
      <c r="V25" s="143"/>
      <c r="W25" s="145"/>
      <c r="X25" s="28">
        <v>4</v>
      </c>
      <c r="Y25" s="143"/>
      <c r="Z25" s="145"/>
      <c r="AA25" s="28">
        <v>37</v>
      </c>
      <c r="AB25" s="143"/>
      <c r="AC25" s="164"/>
      <c r="AD25" s="28">
        <v>98</v>
      </c>
      <c r="AE25" s="143"/>
      <c r="AF25" s="145"/>
      <c r="AG25" s="28">
        <v>88</v>
      </c>
      <c r="AH25" s="143"/>
      <c r="AI25" s="145"/>
      <c r="AJ25" s="28">
        <v>87</v>
      </c>
      <c r="AK25" s="143"/>
      <c r="AL25" s="87">
        <f t="shared" si="0"/>
        <v>589</v>
      </c>
      <c r="AM25" s="192"/>
    </row>
    <row r="26" spans="1:39" ht="50.25" customHeight="1" x14ac:dyDescent="0.25">
      <c r="A26" s="146" t="s">
        <v>76</v>
      </c>
      <c r="B26" s="82" t="s">
        <v>77</v>
      </c>
      <c r="C26" s="28">
        <v>0</v>
      </c>
      <c r="D26" s="142">
        <v>0</v>
      </c>
      <c r="E26" s="144"/>
      <c r="F26" s="28">
        <v>0</v>
      </c>
      <c r="G26" s="142">
        <v>0</v>
      </c>
      <c r="H26" s="144"/>
      <c r="I26" s="28">
        <v>0</v>
      </c>
      <c r="J26" s="142">
        <v>0</v>
      </c>
      <c r="K26" s="144"/>
      <c r="L26" s="28">
        <v>0</v>
      </c>
      <c r="M26" s="142">
        <v>0</v>
      </c>
      <c r="N26" s="144"/>
      <c r="O26" s="28">
        <v>0</v>
      </c>
      <c r="P26" s="142">
        <v>0</v>
      </c>
      <c r="Q26" s="144"/>
      <c r="R26" s="28">
        <v>0</v>
      </c>
      <c r="S26" s="142">
        <v>0</v>
      </c>
      <c r="T26" s="144"/>
      <c r="U26" s="28">
        <v>0</v>
      </c>
      <c r="V26" s="142">
        <v>0</v>
      </c>
      <c r="W26" s="144"/>
      <c r="X26" s="28">
        <v>0</v>
      </c>
      <c r="Y26" s="142">
        <v>0</v>
      </c>
      <c r="Z26" s="144"/>
      <c r="AA26" s="28">
        <v>0</v>
      </c>
      <c r="AB26" s="142">
        <v>0</v>
      </c>
      <c r="AC26" s="144"/>
      <c r="AD26" s="28">
        <v>0</v>
      </c>
      <c r="AE26" s="142">
        <v>0</v>
      </c>
      <c r="AF26" s="144"/>
      <c r="AG26" s="28">
        <v>0</v>
      </c>
      <c r="AH26" s="142">
        <v>0</v>
      </c>
      <c r="AI26" s="144"/>
      <c r="AJ26" s="28">
        <v>0</v>
      </c>
      <c r="AK26" s="142">
        <v>0</v>
      </c>
      <c r="AL26" s="87">
        <f t="shared" si="0"/>
        <v>0</v>
      </c>
      <c r="AM26" s="192">
        <v>0</v>
      </c>
    </row>
    <row r="27" spans="1:39" ht="56.25" customHeight="1" x14ac:dyDescent="0.25">
      <c r="A27" s="146"/>
      <c r="B27" s="82" t="s">
        <v>78</v>
      </c>
      <c r="C27" s="28">
        <v>0</v>
      </c>
      <c r="D27" s="143"/>
      <c r="E27" s="145"/>
      <c r="F27" s="28">
        <v>0</v>
      </c>
      <c r="G27" s="143"/>
      <c r="H27" s="145"/>
      <c r="I27" s="28">
        <v>0</v>
      </c>
      <c r="J27" s="143"/>
      <c r="K27" s="145"/>
      <c r="L27" s="28">
        <v>0</v>
      </c>
      <c r="M27" s="143"/>
      <c r="N27" s="145"/>
      <c r="O27" s="28">
        <v>0</v>
      </c>
      <c r="P27" s="143"/>
      <c r="Q27" s="145"/>
      <c r="R27" s="28">
        <v>0</v>
      </c>
      <c r="S27" s="143"/>
      <c r="T27" s="145"/>
      <c r="U27" s="28">
        <v>0</v>
      </c>
      <c r="V27" s="143"/>
      <c r="W27" s="145"/>
      <c r="X27" s="28">
        <v>0</v>
      </c>
      <c r="Y27" s="143"/>
      <c r="Z27" s="145"/>
      <c r="AA27" s="28">
        <v>0</v>
      </c>
      <c r="AB27" s="143"/>
      <c r="AC27" s="145"/>
      <c r="AD27" s="28">
        <v>0</v>
      </c>
      <c r="AE27" s="143"/>
      <c r="AF27" s="145"/>
      <c r="AG27" s="28">
        <v>0</v>
      </c>
      <c r="AH27" s="143"/>
      <c r="AI27" s="145"/>
      <c r="AJ27" s="28">
        <v>0</v>
      </c>
      <c r="AK27" s="143"/>
      <c r="AL27" s="87">
        <f t="shared" si="0"/>
        <v>0</v>
      </c>
      <c r="AM27" s="192"/>
    </row>
    <row r="28" spans="1:39" ht="63.75" customHeight="1" x14ac:dyDescent="0.25">
      <c r="A28" s="146" t="s">
        <v>79</v>
      </c>
      <c r="B28" s="82" t="s">
        <v>80</v>
      </c>
      <c r="C28" s="28">
        <v>0</v>
      </c>
      <c r="D28" s="142">
        <v>0</v>
      </c>
      <c r="E28" s="144"/>
      <c r="F28" s="28">
        <v>0</v>
      </c>
      <c r="G28" s="142">
        <v>0</v>
      </c>
      <c r="H28" s="144"/>
      <c r="I28" s="28">
        <v>0</v>
      </c>
      <c r="J28" s="142">
        <v>0</v>
      </c>
      <c r="K28" s="144"/>
      <c r="L28" s="28">
        <v>0</v>
      </c>
      <c r="M28" s="142">
        <v>0</v>
      </c>
      <c r="N28" s="144"/>
      <c r="O28" s="28">
        <v>0</v>
      </c>
      <c r="P28" s="142">
        <v>0</v>
      </c>
      <c r="Q28" s="144"/>
      <c r="R28" s="28">
        <v>0</v>
      </c>
      <c r="S28" s="142">
        <v>0</v>
      </c>
      <c r="T28" s="144"/>
      <c r="U28" s="28">
        <v>0</v>
      </c>
      <c r="V28" s="142">
        <v>0</v>
      </c>
      <c r="W28" s="144"/>
      <c r="X28" s="28">
        <v>0</v>
      </c>
      <c r="Y28" s="142">
        <v>0</v>
      </c>
      <c r="Z28" s="144"/>
      <c r="AA28" s="28">
        <v>0</v>
      </c>
      <c r="AB28" s="142">
        <v>0</v>
      </c>
      <c r="AC28" s="144"/>
      <c r="AD28" s="28">
        <v>0</v>
      </c>
      <c r="AE28" s="142">
        <v>0</v>
      </c>
      <c r="AF28" s="144"/>
      <c r="AG28" s="28">
        <v>0</v>
      </c>
      <c r="AH28" s="142">
        <v>0</v>
      </c>
      <c r="AI28" s="144"/>
      <c r="AJ28" s="28">
        <v>0</v>
      </c>
      <c r="AK28" s="142">
        <v>0</v>
      </c>
      <c r="AL28" s="87">
        <f t="shared" si="0"/>
        <v>0</v>
      </c>
      <c r="AM28" s="192">
        <v>0</v>
      </c>
    </row>
    <row r="29" spans="1:39" ht="32.25" customHeight="1" x14ac:dyDescent="0.25">
      <c r="A29" s="146"/>
      <c r="B29" s="82" t="s">
        <v>81</v>
      </c>
      <c r="C29" s="28">
        <v>0</v>
      </c>
      <c r="D29" s="143"/>
      <c r="E29" s="145"/>
      <c r="F29" s="28">
        <v>0</v>
      </c>
      <c r="G29" s="143"/>
      <c r="H29" s="145"/>
      <c r="I29" s="28">
        <v>0</v>
      </c>
      <c r="J29" s="143"/>
      <c r="K29" s="145"/>
      <c r="L29" s="28">
        <v>0</v>
      </c>
      <c r="M29" s="143"/>
      <c r="N29" s="145"/>
      <c r="O29" s="28">
        <v>0</v>
      </c>
      <c r="P29" s="143"/>
      <c r="Q29" s="145"/>
      <c r="R29" s="28">
        <v>0</v>
      </c>
      <c r="S29" s="143"/>
      <c r="T29" s="145"/>
      <c r="U29" s="28">
        <v>0</v>
      </c>
      <c r="V29" s="143"/>
      <c r="W29" s="145"/>
      <c r="X29" s="28">
        <v>0</v>
      </c>
      <c r="Y29" s="143"/>
      <c r="Z29" s="145"/>
      <c r="AA29" s="28">
        <v>0</v>
      </c>
      <c r="AB29" s="143"/>
      <c r="AC29" s="145"/>
      <c r="AD29" s="28">
        <v>0</v>
      </c>
      <c r="AE29" s="143"/>
      <c r="AF29" s="145"/>
      <c r="AG29" s="28">
        <v>0</v>
      </c>
      <c r="AH29" s="143"/>
      <c r="AI29" s="145"/>
      <c r="AJ29" s="28">
        <v>0</v>
      </c>
      <c r="AK29" s="143"/>
      <c r="AL29" s="87">
        <f t="shared" si="0"/>
        <v>0</v>
      </c>
      <c r="AM29" s="192"/>
    </row>
    <row r="30" spans="1:39" ht="42.75" customHeight="1" x14ac:dyDescent="0.25">
      <c r="A30" s="146" t="s">
        <v>82</v>
      </c>
      <c r="B30" s="82" t="s">
        <v>83</v>
      </c>
      <c r="C30" s="28">
        <v>0</v>
      </c>
      <c r="D30" s="172">
        <v>0</v>
      </c>
      <c r="E30" s="144" t="s">
        <v>174</v>
      </c>
      <c r="F30" s="28">
        <v>2</v>
      </c>
      <c r="G30" s="172">
        <v>0</v>
      </c>
      <c r="H30" s="144"/>
      <c r="I30" s="28"/>
      <c r="J30" s="172">
        <v>0</v>
      </c>
      <c r="K30" s="144"/>
      <c r="L30" s="28">
        <v>1</v>
      </c>
      <c r="M30" s="142">
        <f>L30/L31</f>
        <v>8.3333333333333329E-2</v>
      </c>
      <c r="N30" s="144"/>
      <c r="O30" s="28">
        <v>4</v>
      </c>
      <c r="P30" s="142">
        <f>O30/O31</f>
        <v>6.8965517241379309E-2</v>
      </c>
      <c r="Q30" s="144"/>
      <c r="R30" s="28">
        <v>3</v>
      </c>
      <c r="S30" s="172">
        <f>R30/R31</f>
        <v>1.6666666666666666E-2</v>
      </c>
      <c r="T30" s="144"/>
      <c r="U30" s="28">
        <v>7</v>
      </c>
      <c r="V30" s="142">
        <f>U30/U31</f>
        <v>2.0348837209302327E-2</v>
      </c>
      <c r="W30" s="144"/>
      <c r="X30" s="28">
        <v>5</v>
      </c>
      <c r="Y30" s="142">
        <f>X30/X31</f>
        <v>2.0920502092050208E-2</v>
      </c>
      <c r="Z30" s="163" t="s">
        <v>191</v>
      </c>
      <c r="AA30" s="28">
        <v>6</v>
      </c>
      <c r="AB30" s="142">
        <f>AA30/AA31</f>
        <v>2.2304832713754646E-2</v>
      </c>
      <c r="AC30" s="163"/>
      <c r="AD30" s="28">
        <v>4</v>
      </c>
      <c r="AE30" s="142">
        <f>AD30/AD31</f>
        <v>2.1621621621621623E-2</v>
      </c>
      <c r="AF30" s="163"/>
      <c r="AG30" s="28">
        <v>2</v>
      </c>
      <c r="AH30" s="142">
        <f>AG30/AG31</f>
        <v>8.9285714285714281E-3</v>
      </c>
      <c r="AI30" s="163"/>
      <c r="AJ30" s="28">
        <v>4</v>
      </c>
      <c r="AK30" s="142">
        <f>AJ30/AJ31</f>
        <v>0.04</v>
      </c>
      <c r="AL30" s="87">
        <f t="shared" si="0"/>
        <v>38</v>
      </c>
      <c r="AM30" s="192">
        <f>(AL30/AL31)*1000</f>
        <v>21.739130434782609</v>
      </c>
    </row>
    <row r="31" spans="1:39" ht="45" customHeight="1" x14ac:dyDescent="0.25">
      <c r="A31" s="146"/>
      <c r="B31" s="82" t="s">
        <v>84</v>
      </c>
      <c r="C31" s="28">
        <v>0</v>
      </c>
      <c r="D31" s="173"/>
      <c r="E31" s="145"/>
      <c r="F31" s="28">
        <f>8+1+19+26+4+2+26+1+1</f>
        <v>88</v>
      </c>
      <c r="G31" s="173"/>
      <c r="H31" s="145"/>
      <c r="I31" s="28">
        <v>49</v>
      </c>
      <c r="J31" s="173"/>
      <c r="K31" s="145"/>
      <c r="L31" s="28">
        <v>12</v>
      </c>
      <c r="M31" s="143"/>
      <c r="N31" s="145"/>
      <c r="O31" s="28">
        <f>10+12+5+11+15+5</f>
        <v>58</v>
      </c>
      <c r="P31" s="143"/>
      <c r="Q31" s="145"/>
      <c r="R31" s="28">
        <v>180</v>
      </c>
      <c r="S31" s="173"/>
      <c r="T31" s="145"/>
      <c r="U31" s="28">
        <v>344</v>
      </c>
      <c r="V31" s="143"/>
      <c r="W31" s="145"/>
      <c r="X31" s="28">
        <v>239</v>
      </c>
      <c r="Y31" s="143"/>
      <c r="Z31" s="164"/>
      <c r="AA31" s="28">
        <v>269</v>
      </c>
      <c r="AB31" s="143"/>
      <c r="AC31" s="164"/>
      <c r="AD31" s="28">
        <v>185</v>
      </c>
      <c r="AE31" s="143"/>
      <c r="AF31" s="164"/>
      <c r="AG31" s="28">
        <v>224</v>
      </c>
      <c r="AH31" s="143"/>
      <c r="AI31" s="164"/>
      <c r="AJ31" s="28">
        <v>100</v>
      </c>
      <c r="AK31" s="143"/>
      <c r="AL31" s="87">
        <f t="shared" si="0"/>
        <v>1748</v>
      </c>
      <c r="AM31" s="192"/>
    </row>
    <row r="32" spans="1:39" ht="59.25" customHeight="1" x14ac:dyDescent="0.25">
      <c r="A32" s="146" t="s">
        <v>85</v>
      </c>
      <c r="B32" s="82" t="s">
        <v>86</v>
      </c>
      <c r="C32" s="28">
        <v>0</v>
      </c>
      <c r="D32" s="142">
        <v>0</v>
      </c>
      <c r="E32" s="144" t="s">
        <v>174</v>
      </c>
      <c r="F32" s="28">
        <v>3</v>
      </c>
      <c r="G32" s="142">
        <v>0</v>
      </c>
      <c r="H32" s="144"/>
      <c r="I32" s="28"/>
      <c r="J32" s="142">
        <v>0</v>
      </c>
      <c r="K32" s="144"/>
      <c r="L32" s="28">
        <v>6</v>
      </c>
      <c r="M32" s="142">
        <f>L32/L33</f>
        <v>0.24</v>
      </c>
      <c r="N32" s="144"/>
      <c r="O32" s="28">
        <v>3</v>
      </c>
      <c r="P32" s="142">
        <f>O32/O33</f>
        <v>7.4999999999999997E-2</v>
      </c>
      <c r="Q32" s="144"/>
      <c r="R32" s="28">
        <v>3</v>
      </c>
      <c r="S32" s="172">
        <f>R32/R33</f>
        <v>2.1739130434782608E-2</v>
      </c>
      <c r="T32" s="144"/>
      <c r="U32" s="28">
        <v>6</v>
      </c>
      <c r="V32" s="172">
        <f>U32/U33</f>
        <v>1.6172506738544475E-2</v>
      </c>
      <c r="W32" s="144"/>
      <c r="X32" s="28">
        <v>4</v>
      </c>
      <c r="Y32" s="172">
        <f>X32/X33</f>
        <v>7.9840319361277438E-3</v>
      </c>
      <c r="Z32" s="163" t="s">
        <v>192</v>
      </c>
      <c r="AA32" s="28">
        <v>4</v>
      </c>
      <c r="AB32" s="172">
        <f>AA32/AA33</f>
        <v>1.3651877133105802E-2</v>
      </c>
      <c r="AC32" s="163"/>
      <c r="AD32" s="28">
        <v>7</v>
      </c>
      <c r="AE32" s="172">
        <f>AD32/AD33</f>
        <v>2.0527859237536656E-2</v>
      </c>
      <c r="AF32" s="163"/>
      <c r="AG32" s="28">
        <v>7</v>
      </c>
      <c r="AH32" s="172">
        <f>AG32/AG33</f>
        <v>1.5659955257270694E-2</v>
      </c>
      <c r="AI32" s="163"/>
      <c r="AJ32" s="28">
        <v>0</v>
      </c>
      <c r="AK32" s="172" t="e">
        <f>AJ32/AJ33</f>
        <v>#DIV/0!</v>
      </c>
      <c r="AL32" s="87">
        <f t="shared" si="0"/>
        <v>43</v>
      </c>
      <c r="AM32" s="192">
        <f>(AL32/AL33)*1000</f>
        <v>19.043401240035429</v>
      </c>
    </row>
    <row r="33" spans="1:40" ht="48" customHeight="1" x14ac:dyDescent="0.25">
      <c r="A33" s="146"/>
      <c r="B33" s="82" t="s">
        <v>87</v>
      </c>
      <c r="C33" s="28">
        <v>0</v>
      </c>
      <c r="D33" s="143"/>
      <c r="E33" s="145"/>
      <c r="F33" s="28">
        <v>31</v>
      </c>
      <c r="G33" s="143"/>
      <c r="H33" s="145"/>
      <c r="I33" s="28">
        <v>71</v>
      </c>
      <c r="J33" s="143"/>
      <c r="K33" s="145"/>
      <c r="L33" s="28">
        <v>25</v>
      </c>
      <c r="M33" s="143"/>
      <c r="N33" s="145"/>
      <c r="O33" s="28">
        <f>5+9+4+22</f>
        <v>40</v>
      </c>
      <c r="P33" s="143"/>
      <c r="Q33" s="145"/>
      <c r="R33" s="28">
        <v>138</v>
      </c>
      <c r="S33" s="173"/>
      <c r="T33" s="145"/>
      <c r="U33" s="28">
        <v>371</v>
      </c>
      <c r="V33" s="173"/>
      <c r="W33" s="145"/>
      <c r="X33" s="28">
        <v>501</v>
      </c>
      <c r="Y33" s="173"/>
      <c r="Z33" s="164"/>
      <c r="AA33" s="28">
        <v>293</v>
      </c>
      <c r="AB33" s="173"/>
      <c r="AC33" s="164"/>
      <c r="AD33" s="28">
        <v>341</v>
      </c>
      <c r="AE33" s="173"/>
      <c r="AF33" s="164"/>
      <c r="AG33" s="28">
        <v>447</v>
      </c>
      <c r="AH33" s="173"/>
      <c r="AI33" s="164"/>
      <c r="AJ33" s="59">
        <v>0</v>
      </c>
      <c r="AK33" s="173"/>
      <c r="AL33" s="87">
        <f t="shared" si="0"/>
        <v>2258</v>
      </c>
      <c r="AM33" s="192"/>
    </row>
    <row r="34" spans="1:40" ht="62.25" customHeight="1" x14ac:dyDescent="0.25">
      <c r="A34" s="146" t="s">
        <v>88</v>
      </c>
      <c r="B34" s="82" t="s">
        <v>89</v>
      </c>
      <c r="C34" s="28">
        <v>0</v>
      </c>
      <c r="D34" s="142">
        <v>0</v>
      </c>
      <c r="E34" s="144" t="s">
        <v>174</v>
      </c>
      <c r="F34" s="28">
        <v>0</v>
      </c>
      <c r="G34" s="142">
        <v>0</v>
      </c>
      <c r="H34" s="144"/>
      <c r="I34" s="28">
        <v>0</v>
      </c>
      <c r="J34" s="142">
        <v>0</v>
      </c>
      <c r="K34" s="144"/>
      <c r="L34" s="28">
        <v>0</v>
      </c>
      <c r="M34" s="142">
        <v>0</v>
      </c>
      <c r="N34" s="144"/>
      <c r="O34" s="28">
        <v>0</v>
      </c>
      <c r="P34" s="142">
        <v>0</v>
      </c>
      <c r="Q34" s="144"/>
      <c r="R34" s="28">
        <v>2</v>
      </c>
      <c r="S34" s="172">
        <f>R34/R35</f>
        <v>1.2987012987012988E-2</v>
      </c>
      <c r="T34" s="144"/>
      <c r="U34" s="28">
        <v>3</v>
      </c>
      <c r="V34" s="172">
        <f>+U34/U35</f>
        <v>6.2500000000000003E-3</v>
      </c>
      <c r="W34" s="144"/>
      <c r="X34" s="28">
        <v>3</v>
      </c>
      <c r="Y34" s="172">
        <f>+X34/X35</f>
        <v>1.8867924528301886E-2</v>
      </c>
      <c r="Z34" s="163" t="s">
        <v>193</v>
      </c>
      <c r="AA34" s="28">
        <v>2</v>
      </c>
      <c r="AB34" s="172">
        <f>+AA34/AA35</f>
        <v>7.2727272727272727E-3</v>
      </c>
      <c r="AC34" s="163"/>
      <c r="AD34" s="28">
        <v>4</v>
      </c>
      <c r="AE34" s="172">
        <f>+AD34/AD35</f>
        <v>1.4388489208633094E-2</v>
      </c>
      <c r="AF34" s="163"/>
      <c r="AG34" s="28">
        <v>2</v>
      </c>
      <c r="AH34" s="172">
        <f>+AG34/AG35</f>
        <v>8.9285714285714281E-3</v>
      </c>
      <c r="AI34" s="163"/>
      <c r="AJ34" s="28">
        <v>1</v>
      </c>
      <c r="AK34" s="172">
        <f>+AJ34/AJ35</f>
        <v>8.130081300813009E-3</v>
      </c>
      <c r="AL34" s="87">
        <f t="shared" si="0"/>
        <v>17</v>
      </c>
      <c r="AM34" s="192">
        <f>(AL34/AL35)*1000</f>
        <v>9.3818984547461355</v>
      </c>
    </row>
    <row r="35" spans="1:40" ht="45" customHeight="1" x14ac:dyDescent="0.25">
      <c r="A35" s="146"/>
      <c r="B35" s="82" t="s">
        <v>90</v>
      </c>
      <c r="C35" s="28">
        <v>0</v>
      </c>
      <c r="D35" s="143"/>
      <c r="E35" s="145"/>
      <c r="F35" s="28">
        <v>59</v>
      </c>
      <c r="G35" s="143"/>
      <c r="H35" s="145"/>
      <c r="I35" s="28">
        <v>11</v>
      </c>
      <c r="J35" s="143"/>
      <c r="K35" s="145"/>
      <c r="L35" s="28">
        <v>13</v>
      </c>
      <c r="M35" s="143"/>
      <c r="N35" s="145"/>
      <c r="O35" s="28">
        <f>8+4+11+13</f>
        <v>36</v>
      </c>
      <c r="P35" s="143"/>
      <c r="Q35" s="145"/>
      <c r="R35" s="28">
        <v>154</v>
      </c>
      <c r="S35" s="173"/>
      <c r="T35" s="145"/>
      <c r="U35" s="28">
        <v>480</v>
      </c>
      <c r="V35" s="173"/>
      <c r="W35" s="145"/>
      <c r="X35" s="28">
        <v>159</v>
      </c>
      <c r="Y35" s="173"/>
      <c r="Z35" s="164"/>
      <c r="AA35" s="28">
        <v>275</v>
      </c>
      <c r="AB35" s="173"/>
      <c r="AC35" s="164"/>
      <c r="AD35" s="28">
        <v>278</v>
      </c>
      <c r="AE35" s="173"/>
      <c r="AF35" s="164"/>
      <c r="AG35" s="28">
        <v>224</v>
      </c>
      <c r="AH35" s="173"/>
      <c r="AI35" s="164"/>
      <c r="AJ35" s="28">
        <v>123</v>
      </c>
      <c r="AK35" s="173"/>
      <c r="AL35" s="87">
        <f t="shared" si="0"/>
        <v>1812</v>
      </c>
      <c r="AM35" s="192"/>
    </row>
    <row r="36" spans="1:40" ht="32.25" customHeight="1" x14ac:dyDescent="0.25">
      <c r="A36" s="146" t="s">
        <v>91</v>
      </c>
      <c r="B36" s="82" t="s">
        <v>92</v>
      </c>
      <c r="C36" s="28">
        <v>0</v>
      </c>
      <c r="D36" s="142">
        <f>+C36/C37</f>
        <v>0</v>
      </c>
      <c r="E36" s="144"/>
      <c r="F36" s="28">
        <v>0</v>
      </c>
      <c r="G36" s="142">
        <f>+F36/F37</f>
        <v>0</v>
      </c>
      <c r="H36" s="144"/>
      <c r="I36" s="28">
        <v>0</v>
      </c>
      <c r="J36" s="142">
        <f>+I36/I37</f>
        <v>0</v>
      </c>
      <c r="K36" s="163" t="s">
        <v>182</v>
      </c>
      <c r="L36" s="28">
        <v>0</v>
      </c>
      <c r="M36" s="142">
        <f>+L36/L37</f>
        <v>0</v>
      </c>
      <c r="N36" s="163"/>
      <c r="O36" s="28">
        <v>0</v>
      </c>
      <c r="P36" s="142">
        <f>+O36/O37</f>
        <v>0</v>
      </c>
      <c r="Q36" s="163"/>
      <c r="R36" s="28">
        <v>0</v>
      </c>
      <c r="S36" s="142">
        <f>+R36/R37</f>
        <v>0</v>
      </c>
      <c r="T36" s="163"/>
      <c r="U36" s="28">
        <v>3</v>
      </c>
      <c r="V36" s="172">
        <f>+U36/U37</f>
        <v>1.6129032258064516E-2</v>
      </c>
      <c r="W36" s="163"/>
      <c r="X36" s="28">
        <v>0</v>
      </c>
      <c r="Y36" s="172">
        <f>+X36/X37</f>
        <v>0</v>
      </c>
      <c r="Z36" s="163"/>
      <c r="AA36" s="28">
        <v>0</v>
      </c>
      <c r="AB36" s="172">
        <f>+AA36/AA37</f>
        <v>0</v>
      </c>
      <c r="AC36" s="163"/>
      <c r="AD36" s="28">
        <v>1</v>
      </c>
      <c r="AE36" s="172">
        <f>+AD36/AD37</f>
        <v>6.2111801242236021E-3</v>
      </c>
      <c r="AF36" s="163"/>
      <c r="AG36" s="28">
        <v>0</v>
      </c>
      <c r="AH36" s="172">
        <f>+AG36/AG37</f>
        <v>0</v>
      </c>
      <c r="AI36" s="163"/>
      <c r="AJ36" s="28">
        <v>0</v>
      </c>
      <c r="AK36" s="172">
        <f>+AJ36/AJ37</f>
        <v>0</v>
      </c>
      <c r="AL36" s="87">
        <f t="shared" si="0"/>
        <v>4</v>
      </c>
      <c r="AM36" s="192">
        <f>(AL36/AL37)*100</f>
        <v>0.18248175182481752</v>
      </c>
    </row>
    <row r="37" spans="1:40" ht="32.25" customHeight="1" x14ac:dyDescent="0.25">
      <c r="A37" s="146"/>
      <c r="B37" s="82" t="s">
        <v>93</v>
      </c>
      <c r="C37" s="28">
        <v>262</v>
      </c>
      <c r="D37" s="143"/>
      <c r="E37" s="145"/>
      <c r="F37" s="28">
        <v>190</v>
      </c>
      <c r="G37" s="143"/>
      <c r="H37" s="145"/>
      <c r="I37" s="28">
        <v>187</v>
      </c>
      <c r="J37" s="143"/>
      <c r="K37" s="164"/>
      <c r="L37" s="28">
        <v>182</v>
      </c>
      <c r="M37" s="143"/>
      <c r="N37" s="164"/>
      <c r="O37" s="28">
        <v>221</v>
      </c>
      <c r="P37" s="143"/>
      <c r="Q37" s="164"/>
      <c r="R37" s="28">
        <v>172</v>
      </c>
      <c r="S37" s="143"/>
      <c r="T37" s="164"/>
      <c r="U37" s="28">
        <v>186</v>
      </c>
      <c r="V37" s="173"/>
      <c r="W37" s="164"/>
      <c r="X37" s="28">
        <v>176</v>
      </c>
      <c r="Y37" s="173"/>
      <c r="Z37" s="164"/>
      <c r="AA37" s="28">
        <v>164</v>
      </c>
      <c r="AB37" s="173"/>
      <c r="AC37" s="164"/>
      <c r="AD37" s="28">
        <v>161</v>
      </c>
      <c r="AE37" s="173"/>
      <c r="AF37" s="164"/>
      <c r="AG37" s="28">
        <v>149</v>
      </c>
      <c r="AH37" s="173"/>
      <c r="AI37" s="164"/>
      <c r="AJ37" s="28">
        <v>142</v>
      </c>
      <c r="AK37" s="173"/>
      <c r="AL37" s="87">
        <f t="shared" si="0"/>
        <v>2192</v>
      </c>
      <c r="AM37" s="192"/>
    </row>
    <row r="38" spans="1:40" ht="32.25" customHeight="1" x14ac:dyDescent="0.25">
      <c r="A38" s="146" t="s">
        <v>94</v>
      </c>
      <c r="B38" s="82" t="s">
        <v>95</v>
      </c>
      <c r="C38" s="28">
        <v>0</v>
      </c>
      <c r="D38" s="142">
        <f>+C38/C39</f>
        <v>0</v>
      </c>
      <c r="E38" s="144"/>
      <c r="F38" s="28">
        <v>1</v>
      </c>
      <c r="G38" s="142">
        <f>+F38/F39</f>
        <v>5.263157894736842E-3</v>
      </c>
      <c r="H38" s="144"/>
      <c r="I38" s="28">
        <v>0</v>
      </c>
      <c r="J38" s="142">
        <f>+I38/I39</f>
        <v>0</v>
      </c>
      <c r="K38" s="163" t="s">
        <v>183</v>
      </c>
      <c r="L38" s="28">
        <v>0</v>
      </c>
      <c r="M38" s="142">
        <f>+L38/L39</f>
        <v>0</v>
      </c>
      <c r="N38" s="163"/>
      <c r="O38" s="28">
        <v>0</v>
      </c>
      <c r="P38" s="142">
        <f>+O38/O39</f>
        <v>0</v>
      </c>
      <c r="Q38" s="163"/>
      <c r="R38" s="28">
        <v>0</v>
      </c>
      <c r="S38" s="142">
        <f>+R38/R39</f>
        <v>0</v>
      </c>
      <c r="T38" s="163"/>
      <c r="U38" s="28">
        <v>0</v>
      </c>
      <c r="V38" s="142">
        <f>+U38/U39</f>
        <v>0</v>
      </c>
      <c r="W38" s="163"/>
      <c r="X38" s="28">
        <v>0</v>
      </c>
      <c r="Y38" s="142">
        <f>+X38/X39</f>
        <v>0</v>
      </c>
      <c r="Z38" s="163"/>
      <c r="AA38" s="28">
        <v>0</v>
      </c>
      <c r="AB38" s="142">
        <f>+AA38/AA39</f>
        <v>0</v>
      </c>
      <c r="AC38" s="163"/>
      <c r="AD38" s="28">
        <v>0</v>
      </c>
      <c r="AE38" s="142">
        <f>+AD38/AD39</f>
        <v>0</v>
      </c>
      <c r="AF38" s="163"/>
      <c r="AG38" s="28"/>
      <c r="AH38" s="142">
        <f>+AG38/AG39</f>
        <v>0</v>
      </c>
      <c r="AI38" s="163"/>
      <c r="AJ38" s="28"/>
      <c r="AK38" s="142">
        <f>+AJ38/AJ39</f>
        <v>0</v>
      </c>
      <c r="AL38" s="87">
        <f t="shared" si="0"/>
        <v>1</v>
      </c>
      <c r="AM38" s="192">
        <f>(AL38/AL39)*100</f>
        <v>4.5620437956204379E-2</v>
      </c>
    </row>
    <row r="39" spans="1:40" ht="32.25" customHeight="1" x14ac:dyDescent="0.25">
      <c r="A39" s="146"/>
      <c r="B39" s="82" t="s">
        <v>93</v>
      </c>
      <c r="C39" s="28">
        <v>262</v>
      </c>
      <c r="D39" s="143"/>
      <c r="E39" s="145"/>
      <c r="F39" s="28">
        <v>190</v>
      </c>
      <c r="G39" s="143"/>
      <c r="H39" s="145"/>
      <c r="I39" s="28">
        <v>187</v>
      </c>
      <c r="J39" s="143"/>
      <c r="K39" s="164"/>
      <c r="L39" s="28">
        <v>182</v>
      </c>
      <c r="M39" s="143"/>
      <c r="N39" s="164"/>
      <c r="O39" s="28">
        <v>221</v>
      </c>
      <c r="P39" s="143"/>
      <c r="Q39" s="164"/>
      <c r="R39" s="28">
        <v>172</v>
      </c>
      <c r="S39" s="143"/>
      <c r="T39" s="164"/>
      <c r="U39" s="28">
        <v>186</v>
      </c>
      <c r="V39" s="143"/>
      <c r="W39" s="164"/>
      <c r="X39" s="28">
        <v>176</v>
      </c>
      <c r="Y39" s="143"/>
      <c r="Z39" s="164"/>
      <c r="AA39" s="28">
        <v>164</v>
      </c>
      <c r="AB39" s="143"/>
      <c r="AC39" s="164"/>
      <c r="AD39" s="28">
        <v>161</v>
      </c>
      <c r="AE39" s="143"/>
      <c r="AF39" s="164"/>
      <c r="AG39" s="28">
        <v>149</v>
      </c>
      <c r="AH39" s="143"/>
      <c r="AI39" s="164"/>
      <c r="AJ39" s="28">
        <v>142</v>
      </c>
      <c r="AK39" s="143"/>
      <c r="AL39" s="87">
        <f t="shared" si="0"/>
        <v>2192</v>
      </c>
      <c r="AM39" s="192"/>
    </row>
    <row r="40" spans="1:40" ht="43.5" customHeight="1" x14ac:dyDescent="0.25">
      <c r="A40" s="146" t="s">
        <v>96</v>
      </c>
      <c r="B40" s="82" t="s">
        <v>97</v>
      </c>
      <c r="C40" s="34">
        <v>0</v>
      </c>
      <c r="D40" s="142">
        <f>+C40/C41</f>
        <v>0</v>
      </c>
      <c r="E40" s="144" t="s">
        <v>174</v>
      </c>
      <c r="F40" s="34">
        <v>0</v>
      </c>
      <c r="G40" s="142">
        <f>+F40/F41</f>
        <v>0</v>
      </c>
      <c r="H40" s="144"/>
      <c r="I40" s="34">
        <v>0</v>
      </c>
      <c r="J40" s="142">
        <f>+I40/I41</f>
        <v>0</v>
      </c>
      <c r="K40" s="144"/>
      <c r="L40" s="34">
        <v>0</v>
      </c>
      <c r="M40" s="142">
        <f>+L40/L41</f>
        <v>0</v>
      </c>
      <c r="N40" s="144"/>
      <c r="O40" s="34">
        <v>0</v>
      </c>
      <c r="P40" s="142">
        <f>+O40/O41</f>
        <v>0</v>
      </c>
      <c r="Q40" s="144"/>
      <c r="R40" s="34">
        <v>0</v>
      </c>
      <c r="S40" s="142">
        <f>+R40/R41</f>
        <v>0</v>
      </c>
      <c r="T40" s="144"/>
      <c r="U40" s="34">
        <v>1</v>
      </c>
      <c r="V40" s="142">
        <f>+U40/U41</f>
        <v>1.4511681903932666E-4</v>
      </c>
      <c r="W40" s="144"/>
      <c r="X40" s="35">
        <v>2</v>
      </c>
      <c r="Y40" s="180">
        <f>+X40/X41</f>
        <v>4.5589240939138365E-4</v>
      </c>
      <c r="Z40" s="144"/>
      <c r="AA40" s="35"/>
      <c r="AB40" s="180" t="e">
        <f>+AA40/AA41</f>
        <v>#DIV/0!</v>
      </c>
      <c r="AC40" s="144"/>
      <c r="AD40" s="35"/>
      <c r="AE40" s="180" t="e">
        <f>+AD40/AD41</f>
        <v>#DIV/0!</v>
      </c>
      <c r="AF40" s="144"/>
      <c r="AG40" s="35"/>
      <c r="AH40" s="180" t="e">
        <f>+AG40/AG41</f>
        <v>#DIV/0!</v>
      </c>
      <c r="AI40" s="144"/>
      <c r="AJ40" s="35"/>
      <c r="AK40" s="180" t="e">
        <f>+AJ40/AJ41</f>
        <v>#DIV/0!</v>
      </c>
      <c r="AL40" s="87">
        <v>8</v>
      </c>
      <c r="AM40" s="192">
        <f t="shared" ref="AM40" si="8">+AL40/AL41</f>
        <v>1.2455045071694352E-4</v>
      </c>
    </row>
    <row r="41" spans="1:40" ht="41.25" customHeight="1" x14ac:dyDescent="0.25">
      <c r="A41" s="146"/>
      <c r="B41" s="82" t="s">
        <v>98</v>
      </c>
      <c r="C41" s="34">
        <v>6410</v>
      </c>
      <c r="D41" s="143"/>
      <c r="E41" s="145"/>
      <c r="F41" s="34">
        <f>208+280+593+840+749+865+261+69+648+778</f>
        <v>5291</v>
      </c>
      <c r="G41" s="143"/>
      <c r="H41" s="145"/>
      <c r="I41" s="34">
        <v>6129</v>
      </c>
      <c r="J41" s="143"/>
      <c r="K41" s="145"/>
      <c r="L41" s="34">
        <v>6408</v>
      </c>
      <c r="M41" s="143"/>
      <c r="N41" s="145"/>
      <c r="O41" s="34">
        <v>7229</v>
      </c>
      <c r="P41" s="143"/>
      <c r="Q41" s="145"/>
      <c r="R41" s="34">
        <v>4023</v>
      </c>
      <c r="S41" s="143"/>
      <c r="T41" s="145"/>
      <c r="U41" s="34">
        <v>6891</v>
      </c>
      <c r="V41" s="143"/>
      <c r="W41" s="145"/>
      <c r="X41" s="34">
        <v>4387</v>
      </c>
      <c r="Y41" s="181"/>
      <c r="Z41" s="145"/>
      <c r="AA41" s="34"/>
      <c r="AB41" s="181"/>
      <c r="AC41" s="145"/>
      <c r="AD41" s="34"/>
      <c r="AE41" s="181"/>
      <c r="AF41" s="145"/>
      <c r="AG41" s="34"/>
      <c r="AH41" s="181"/>
      <c r="AI41" s="145"/>
      <c r="AJ41" s="34"/>
      <c r="AK41" s="181"/>
      <c r="AL41" s="87">
        <v>64231</v>
      </c>
      <c r="AM41" s="192"/>
      <c r="AN41" s="89">
        <f>+AM40*1000</f>
        <v>0.12455045071694353</v>
      </c>
    </row>
    <row r="42" spans="1:40" ht="45" customHeight="1" x14ac:dyDescent="0.25">
      <c r="A42" s="146" t="s">
        <v>99</v>
      </c>
      <c r="B42" s="82" t="s">
        <v>100</v>
      </c>
      <c r="C42" s="28">
        <v>0</v>
      </c>
      <c r="D42" s="142">
        <f>+C42/C43</f>
        <v>0</v>
      </c>
      <c r="E42" s="144" t="s">
        <v>174</v>
      </c>
      <c r="F42" s="28">
        <v>0</v>
      </c>
      <c r="G42" s="142">
        <f>+F42/F43</f>
        <v>0</v>
      </c>
      <c r="H42" s="144"/>
      <c r="I42" s="28">
        <v>0</v>
      </c>
      <c r="J42" s="142">
        <f>+I42/I43</f>
        <v>0</v>
      </c>
      <c r="K42" s="144"/>
      <c r="L42" s="28">
        <v>0</v>
      </c>
      <c r="M42" s="142">
        <f>+L42/L43</f>
        <v>0</v>
      </c>
      <c r="N42" s="144"/>
      <c r="O42" s="28">
        <v>0</v>
      </c>
      <c r="P42" s="142">
        <f>+O42/O43</f>
        <v>0</v>
      </c>
      <c r="Q42" s="144"/>
      <c r="R42" s="28">
        <v>0</v>
      </c>
      <c r="S42" s="142">
        <f>+R42/R43</f>
        <v>0</v>
      </c>
      <c r="T42" s="144"/>
      <c r="U42" s="28">
        <v>0</v>
      </c>
      <c r="V42" s="142">
        <f>+U42/U43</f>
        <v>0</v>
      </c>
      <c r="W42" s="144"/>
      <c r="X42" s="36">
        <v>1</v>
      </c>
      <c r="Y42" s="180">
        <f>+X42/X43</f>
        <v>5.4229934924078093E-4</v>
      </c>
      <c r="Z42" s="144"/>
      <c r="AA42" s="36"/>
      <c r="AB42" s="180" t="e">
        <f>+AA42/AA43</f>
        <v>#DIV/0!</v>
      </c>
      <c r="AC42" s="144"/>
      <c r="AD42" s="36"/>
      <c r="AE42" s="180" t="e">
        <f>+AD42/AD43</f>
        <v>#DIV/0!</v>
      </c>
      <c r="AF42" s="144"/>
      <c r="AG42" s="36"/>
      <c r="AH42" s="180" t="e">
        <f>+AG42/AG43</f>
        <v>#DIV/0!</v>
      </c>
      <c r="AI42" s="144"/>
      <c r="AJ42" s="36"/>
      <c r="AK42" s="180" t="e">
        <f>+AJ42/AJ43</f>
        <v>#DIV/0!</v>
      </c>
      <c r="AL42" s="87">
        <f t="shared" si="0"/>
        <v>1</v>
      </c>
      <c r="AM42" s="192">
        <f t="shared" ref="AM42" si="9">+AL42/AL43</f>
        <v>4.6515954972555587E-5</v>
      </c>
    </row>
    <row r="43" spans="1:40" ht="32.25" customHeight="1" x14ac:dyDescent="0.25">
      <c r="A43" s="146"/>
      <c r="B43" s="82" t="s">
        <v>101</v>
      </c>
      <c r="C43" s="28">
        <v>2116</v>
      </c>
      <c r="D43" s="143"/>
      <c r="E43" s="145"/>
      <c r="F43" s="28">
        <v>1798</v>
      </c>
      <c r="G43" s="143"/>
      <c r="H43" s="145"/>
      <c r="I43" s="28">
        <v>1949</v>
      </c>
      <c r="J43" s="143"/>
      <c r="K43" s="145"/>
      <c r="L43" s="28">
        <v>1795</v>
      </c>
      <c r="M43" s="143"/>
      <c r="N43" s="145"/>
      <c r="O43" s="28">
        <v>1940</v>
      </c>
      <c r="P43" s="143"/>
      <c r="Q43" s="145"/>
      <c r="R43" s="28">
        <v>1716</v>
      </c>
      <c r="S43" s="143"/>
      <c r="T43" s="145"/>
      <c r="U43" s="28">
        <v>1833</v>
      </c>
      <c r="V43" s="143"/>
      <c r="W43" s="145"/>
      <c r="X43" s="36">
        <v>1844</v>
      </c>
      <c r="Y43" s="181"/>
      <c r="Z43" s="145"/>
      <c r="AA43" s="36"/>
      <c r="AB43" s="181"/>
      <c r="AC43" s="145"/>
      <c r="AD43" s="36"/>
      <c r="AE43" s="181"/>
      <c r="AF43" s="145"/>
      <c r="AG43" s="36"/>
      <c r="AH43" s="181"/>
      <c r="AI43" s="145"/>
      <c r="AJ43" s="36"/>
      <c r="AK43" s="181"/>
      <c r="AL43" s="87">
        <v>21498</v>
      </c>
      <c r="AM43" s="192"/>
      <c r="AN43" s="90">
        <f>+AM42*1000</f>
        <v>4.651595497255559E-2</v>
      </c>
    </row>
    <row r="44" spans="1:40" ht="43.5" customHeight="1" x14ac:dyDescent="0.25">
      <c r="A44" s="146" t="s">
        <v>102</v>
      </c>
      <c r="B44" s="82" t="s">
        <v>103</v>
      </c>
      <c r="C44" s="28">
        <v>0</v>
      </c>
      <c r="D44" s="142">
        <f>+C44/C45</f>
        <v>0</v>
      </c>
      <c r="E44" s="144" t="s">
        <v>174</v>
      </c>
      <c r="F44" s="28">
        <v>0</v>
      </c>
      <c r="G44" s="142">
        <f>+F44/F45</f>
        <v>0</v>
      </c>
      <c r="H44" s="144"/>
      <c r="I44" s="28">
        <v>0</v>
      </c>
      <c r="J44" s="142">
        <f>+I44/I45</f>
        <v>0</v>
      </c>
      <c r="K44" s="144"/>
      <c r="L44" s="28">
        <v>0</v>
      </c>
      <c r="M44" s="142">
        <f>+L44/L45</f>
        <v>0</v>
      </c>
      <c r="N44" s="144"/>
      <c r="O44" s="28">
        <v>0</v>
      </c>
      <c r="P44" s="142">
        <f>+O44/O45</f>
        <v>0</v>
      </c>
      <c r="Q44" s="144"/>
      <c r="R44" s="28">
        <v>0</v>
      </c>
      <c r="S44" s="142">
        <f>+R44/R45</f>
        <v>0</v>
      </c>
      <c r="T44" s="144"/>
      <c r="U44" s="28">
        <v>0</v>
      </c>
      <c r="V44" s="142">
        <f>+U44/U45</f>
        <v>0</v>
      </c>
      <c r="W44" s="144"/>
      <c r="X44" s="36">
        <v>0</v>
      </c>
      <c r="Y44" s="142">
        <f>+X44/X45</f>
        <v>0</v>
      </c>
      <c r="Z44" s="144"/>
      <c r="AA44" s="36"/>
      <c r="AB44" s="142" t="e">
        <f>+AA44/AA45</f>
        <v>#DIV/0!</v>
      </c>
      <c r="AC44" s="144"/>
      <c r="AD44" s="36"/>
      <c r="AE44" s="142" t="e">
        <f>+AD44/AD45</f>
        <v>#DIV/0!</v>
      </c>
      <c r="AF44" s="144"/>
      <c r="AG44" s="36"/>
      <c r="AH44" s="142" t="e">
        <f>+AG44/AG45</f>
        <v>#DIV/0!</v>
      </c>
      <c r="AI44" s="144"/>
      <c r="AJ44" s="36"/>
      <c r="AK44" s="142" t="e">
        <f>+AJ44/AJ45</f>
        <v>#DIV/0!</v>
      </c>
      <c r="AL44" s="87">
        <f t="shared" si="0"/>
        <v>0</v>
      </c>
      <c r="AM44" s="192">
        <f t="shared" ref="AM44" si="10">+AL44/AL45</f>
        <v>0</v>
      </c>
    </row>
    <row r="45" spans="1:40" ht="41.25" customHeight="1" x14ac:dyDescent="0.25">
      <c r="A45" s="146"/>
      <c r="B45" s="82" t="s">
        <v>104</v>
      </c>
      <c r="C45" s="28">
        <v>2687</v>
      </c>
      <c r="D45" s="143"/>
      <c r="E45" s="145"/>
      <c r="F45" s="28">
        <v>3308</v>
      </c>
      <c r="G45" s="143"/>
      <c r="H45" s="145"/>
      <c r="I45" s="28">
        <v>4962</v>
      </c>
      <c r="J45" s="143"/>
      <c r="K45" s="145"/>
      <c r="L45" s="28">
        <v>4145</v>
      </c>
      <c r="M45" s="143"/>
      <c r="N45" s="145"/>
      <c r="O45" s="28">
        <v>7945</v>
      </c>
      <c r="P45" s="143"/>
      <c r="Q45" s="145"/>
      <c r="R45" s="28">
        <v>4942</v>
      </c>
      <c r="S45" s="143"/>
      <c r="T45" s="145"/>
      <c r="U45" s="28">
        <v>4770</v>
      </c>
      <c r="V45" s="143"/>
      <c r="W45" s="145"/>
      <c r="X45" s="36">
        <v>3625</v>
      </c>
      <c r="Y45" s="143"/>
      <c r="Z45" s="145"/>
      <c r="AA45" s="36"/>
      <c r="AB45" s="143"/>
      <c r="AC45" s="145"/>
      <c r="AD45" s="36"/>
      <c r="AE45" s="143"/>
      <c r="AF45" s="145"/>
      <c r="AG45" s="36"/>
      <c r="AH45" s="143"/>
      <c r="AI45" s="145"/>
      <c r="AJ45" s="36"/>
      <c r="AK45" s="143"/>
      <c r="AL45" s="87">
        <v>39522</v>
      </c>
      <c r="AM45" s="192"/>
    </row>
    <row r="46" spans="1:40" ht="67.5" customHeight="1" x14ac:dyDescent="0.25">
      <c r="A46" s="146" t="s">
        <v>106</v>
      </c>
      <c r="B46" s="82" t="s">
        <v>107</v>
      </c>
      <c r="C46" s="28">
        <v>0</v>
      </c>
      <c r="D46" s="142">
        <f>+C46/C47</f>
        <v>0</v>
      </c>
      <c r="E46" s="144" t="s">
        <v>174</v>
      </c>
      <c r="F46" s="28">
        <v>0</v>
      </c>
      <c r="G46" s="142">
        <f>+F46/F47</f>
        <v>0</v>
      </c>
      <c r="H46" s="144"/>
      <c r="I46" s="28">
        <v>0</v>
      </c>
      <c r="J46" s="142">
        <f>+I46/I47</f>
        <v>0</v>
      </c>
      <c r="K46" s="144"/>
      <c r="L46" s="28">
        <v>0</v>
      </c>
      <c r="M46" s="142">
        <f>+L46/L47</f>
        <v>0</v>
      </c>
      <c r="N46" s="144"/>
      <c r="O46" s="28">
        <v>0</v>
      </c>
      <c r="P46" s="142">
        <f>+O46/O47</f>
        <v>0</v>
      </c>
      <c r="Q46" s="144"/>
      <c r="R46" s="28">
        <v>0</v>
      </c>
      <c r="S46" s="142">
        <f>+R46/R47</f>
        <v>0</v>
      </c>
      <c r="T46" s="144"/>
      <c r="U46" s="28">
        <v>0</v>
      </c>
      <c r="V46" s="142">
        <f>+U46/U47</f>
        <v>0</v>
      </c>
      <c r="W46" s="144"/>
      <c r="X46" s="36">
        <v>0</v>
      </c>
      <c r="Y46" s="142">
        <f>+X46/X47</f>
        <v>0</v>
      </c>
      <c r="Z46" s="144"/>
      <c r="AA46" s="36"/>
      <c r="AB46" s="142" t="e">
        <f>+AA46/AA47</f>
        <v>#DIV/0!</v>
      </c>
      <c r="AC46" s="144"/>
      <c r="AD46" s="36"/>
      <c r="AE46" s="142" t="e">
        <f>+AD46/AD47</f>
        <v>#DIV/0!</v>
      </c>
      <c r="AF46" s="144"/>
      <c r="AG46" s="36"/>
      <c r="AH46" s="142" t="e">
        <f>+AG46/AG47</f>
        <v>#DIV/0!</v>
      </c>
      <c r="AI46" s="144"/>
      <c r="AJ46" s="36"/>
      <c r="AK46" s="142" t="e">
        <f>+AJ46/AJ47</f>
        <v>#DIV/0!</v>
      </c>
      <c r="AL46" s="87">
        <f t="shared" si="0"/>
        <v>0</v>
      </c>
      <c r="AM46" s="192">
        <f t="shared" ref="AM46" si="11">+AL46/AL47</f>
        <v>0</v>
      </c>
    </row>
    <row r="47" spans="1:40" ht="44.25" customHeight="1" x14ac:dyDescent="0.25">
      <c r="A47" s="146"/>
      <c r="B47" s="82" t="s">
        <v>108</v>
      </c>
      <c r="C47" s="28">
        <v>2900</v>
      </c>
      <c r="D47" s="143"/>
      <c r="E47" s="145"/>
      <c r="F47" s="28">
        <f>15+998+474+721</f>
        <v>2208</v>
      </c>
      <c r="G47" s="143"/>
      <c r="H47" s="145"/>
      <c r="I47" s="28">
        <v>2354</v>
      </c>
      <c r="J47" s="143"/>
      <c r="K47" s="145"/>
      <c r="L47" s="28">
        <v>2267</v>
      </c>
      <c r="M47" s="143"/>
      <c r="N47" s="145"/>
      <c r="O47" s="28">
        <v>2897</v>
      </c>
      <c r="P47" s="143"/>
      <c r="Q47" s="145"/>
      <c r="R47" s="28">
        <v>2842</v>
      </c>
      <c r="S47" s="143"/>
      <c r="T47" s="145"/>
      <c r="U47" s="28">
        <v>2930</v>
      </c>
      <c r="V47" s="143"/>
      <c r="W47" s="145"/>
      <c r="X47" s="36">
        <v>2684</v>
      </c>
      <c r="Y47" s="143"/>
      <c r="Z47" s="145"/>
      <c r="AA47" s="36"/>
      <c r="AB47" s="143"/>
      <c r="AC47" s="145"/>
      <c r="AD47" s="36"/>
      <c r="AE47" s="143"/>
      <c r="AF47" s="145"/>
      <c r="AG47" s="36"/>
      <c r="AH47" s="143"/>
      <c r="AI47" s="145"/>
      <c r="AJ47" s="36"/>
      <c r="AK47" s="143"/>
      <c r="AL47" s="87">
        <f>2635*12</f>
        <v>31620</v>
      </c>
      <c r="AM47" s="192"/>
    </row>
    <row r="48" spans="1:40" ht="32.25" customHeight="1" x14ac:dyDescent="0.25">
      <c r="A48" s="146" t="s">
        <v>109</v>
      </c>
      <c r="B48" s="82" t="s">
        <v>110</v>
      </c>
      <c r="C48" s="28">
        <v>0</v>
      </c>
      <c r="D48" s="142">
        <f>+C48/C49</f>
        <v>0</v>
      </c>
      <c r="E48" s="144" t="s">
        <v>174</v>
      </c>
      <c r="F48" s="28">
        <v>0</v>
      </c>
      <c r="G48" s="142">
        <f>+F48/F49</f>
        <v>0</v>
      </c>
      <c r="H48" s="144"/>
      <c r="I48" s="28">
        <v>0</v>
      </c>
      <c r="J48" s="142">
        <f>+I48/I49</f>
        <v>0</v>
      </c>
      <c r="K48" s="144"/>
      <c r="L48" s="28">
        <v>0</v>
      </c>
      <c r="M48" s="142">
        <f>+L48/L49</f>
        <v>0</v>
      </c>
      <c r="N48" s="144"/>
      <c r="O48" s="28">
        <v>0</v>
      </c>
      <c r="P48" s="142">
        <f>+O48/O49</f>
        <v>0</v>
      </c>
      <c r="Q48" s="144"/>
      <c r="R48" s="28">
        <v>0</v>
      </c>
      <c r="S48" s="142">
        <f>+R48/R49</f>
        <v>0</v>
      </c>
      <c r="T48" s="144"/>
      <c r="U48" s="28">
        <v>0</v>
      </c>
      <c r="V48" s="142">
        <f>+U48/U49</f>
        <v>0</v>
      </c>
      <c r="W48" s="144"/>
      <c r="X48" s="36">
        <v>0</v>
      </c>
      <c r="Y48" s="142">
        <f>+X48/X49</f>
        <v>0</v>
      </c>
      <c r="Z48" s="144"/>
      <c r="AA48" s="36"/>
      <c r="AB48" s="142" t="e">
        <f>+AA48/AA49</f>
        <v>#DIV/0!</v>
      </c>
      <c r="AC48" s="144"/>
      <c r="AD48" s="36"/>
      <c r="AE48" s="142" t="e">
        <f>+AD48/AD49</f>
        <v>#DIV/0!</v>
      </c>
      <c r="AF48" s="144"/>
      <c r="AG48" s="36"/>
      <c r="AH48" s="142" t="e">
        <f>+AG48/AG49</f>
        <v>#DIV/0!</v>
      </c>
      <c r="AI48" s="144"/>
      <c r="AJ48" s="36"/>
      <c r="AK48" s="142" t="e">
        <f>+AJ48/AJ49</f>
        <v>#DIV/0!</v>
      </c>
      <c r="AL48" s="87">
        <f t="shared" si="0"/>
        <v>0</v>
      </c>
      <c r="AM48" s="192">
        <f t="shared" ref="AM48" si="12">+AL48/AL49</f>
        <v>0</v>
      </c>
    </row>
    <row r="49" spans="1:40" ht="32.25" customHeight="1" x14ac:dyDescent="0.25">
      <c r="A49" s="146"/>
      <c r="B49" s="82" t="s">
        <v>111</v>
      </c>
      <c r="C49" s="28">
        <v>1308</v>
      </c>
      <c r="D49" s="143"/>
      <c r="E49" s="145"/>
      <c r="F49" s="28">
        <v>1077</v>
      </c>
      <c r="G49" s="143"/>
      <c r="H49" s="145"/>
      <c r="I49" s="28">
        <v>1245</v>
      </c>
      <c r="J49" s="143"/>
      <c r="K49" s="145"/>
      <c r="L49" s="28">
        <v>1146</v>
      </c>
      <c r="M49" s="143"/>
      <c r="N49" s="145"/>
      <c r="O49" s="28">
        <v>1201</v>
      </c>
      <c r="P49" s="143"/>
      <c r="Q49" s="145"/>
      <c r="R49" s="28">
        <v>1116</v>
      </c>
      <c r="S49" s="143"/>
      <c r="T49" s="145"/>
      <c r="U49" s="28">
        <v>1190</v>
      </c>
      <c r="V49" s="143"/>
      <c r="W49" s="145"/>
      <c r="X49" s="28">
        <v>1104</v>
      </c>
      <c r="Y49" s="143"/>
      <c r="Z49" s="145"/>
      <c r="AA49" s="28"/>
      <c r="AB49" s="143"/>
      <c r="AC49" s="145"/>
      <c r="AD49" s="28"/>
      <c r="AE49" s="143"/>
      <c r="AF49" s="145"/>
      <c r="AG49" s="28"/>
      <c r="AH49" s="143"/>
      <c r="AI49" s="145"/>
      <c r="AJ49" s="28"/>
      <c r="AK49" s="143"/>
      <c r="AL49" s="87">
        <v>13453</v>
      </c>
      <c r="AM49" s="192"/>
    </row>
    <row r="50" spans="1:40" ht="32.25" customHeight="1" x14ac:dyDescent="0.25">
      <c r="A50" s="146" t="s">
        <v>112</v>
      </c>
      <c r="B50" s="82" t="s">
        <v>113</v>
      </c>
      <c r="C50" s="28">
        <v>0</v>
      </c>
      <c r="D50" s="142">
        <f>+C50/C51</f>
        <v>0</v>
      </c>
      <c r="E50" s="144" t="s">
        <v>174</v>
      </c>
      <c r="F50" s="28">
        <v>0</v>
      </c>
      <c r="G50" s="142">
        <f>+F50/F51</f>
        <v>0</v>
      </c>
      <c r="H50" s="144"/>
      <c r="I50" s="28">
        <v>0</v>
      </c>
      <c r="J50" s="142">
        <f>+I50/I51</f>
        <v>0</v>
      </c>
      <c r="K50" s="144"/>
      <c r="L50" s="28">
        <v>0</v>
      </c>
      <c r="M50" s="142">
        <f>+L50/L51</f>
        <v>0</v>
      </c>
      <c r="N50" s="144"/>
      <c r="O50" s="28">
        <v>0</v>
      </c>
      <c r="P50" s="142">
        <f>+O50/O51</f>
        <v>0</v>
      </c>
      <c r="Q50" s="144"/>
      <c r="R50" s="28">
        <v>0</v>
      </c>
      <c r="S50" s="142">
        <f>+R50/R51</f>
        <v>0</v>
      </c>
      <c r="T50" s="144"/>
      <c r="U50" s="28">
        <v>0</v>
      </c>
      <c r="V50" s="142">
        <f>+U50/U51</f>
        <v>0</v>
      </c>
      <c r="W50" s="144"/>
      <c r="X50" s="36">
        <v>0</v>
      </c>
      <c r="Y50" s="142">
        <f>+X50/X51</f>
        <v>0</v>
      </c>
      <c r="Z50" s="144"/>
      <c r="AA50" s="36"/>
      <c r="AB50" s="142" t="e">
        <f>+AA50/AA51</f>
        <v>#DIV/0!</v>
      </c>
      <c r="AC50" s="144"/>
      <c r="AD50" s="36"/>
      <c r="AE50" s="142" t="e">
        <f>+AD50/AD51</f>
        <v>#DIV/0!</v>
      </c>
      <c r="AF50" s="144"/>
      <c r="AG50" s="36"/>
      <c r="AH50" s="142" t="e">
        <f>+AG50/AG51</f>
        <v>#DIV/0!</v>
      </c>
      <c r="AI50" s="144"/>
      <c r="AJ50" s="36"/>
      <c r="AK50" s="142" t="e">
        <f>+AJ50/AJ51</f>
        <v>#DIV/0!</v>
      </c>
      <c r="AL50" s="87">
        <f t="shared" si="0"/>
        <v>0</v>
      </c>
      <c r="AM50" s="192">
        <f t="shared" ref="AM50" si="13">+AL50/AL51</f>
        <v>0</v>
      </c>
    </row>
    <row r="51" spans="1:40" ht="32.25" customHeight="1" x14ac:dyDescent="0.25">
      <c r="A51" s="146"/>
      <c r="B51" s="82" t="s">
        <v>114</v>
      </c>
      <c r="C51" s="28">
        <v>2116</v>
      </c>
      <c r="D51" s="143"/>
      <c r="E51" s="145"/>
      <c r="F51" s="28">
        <v>1978</v>
      </c>
      <c r="G51" s="143"/>
      <c r="H51" s="145"/>
      <c r="I51" s="28">
        <v>1949</v>
      </c>
      <c r="J51" s="143"/>
      <c r="K51" s="145"/>
      <c r="L51" s="28">
        <v>1795</v>
      </c>
      <c r="M51" s="143"/>
      <c r="N51" s="145"/>
      <c r="O51" s="28">
        <v>1940</v>
      </c>
      <c r="P51" s="143"/>
      <c r="Q51" s="145"/>
      <c r="R51" s="28">
        <v>1716</v>
      </c>
      <c r="S51" s="143"/>
      <c r="T51" s="145"/>
      <c r="U51" s="28">
        <v>1833</v>
      </c>
      <c r="V51" s="143"/>
      <c r="W51" s="145"/>
      <c r="X51" s="36">
        <v>1844</v>
      </c>
      <c r="Y51" s="143"/>
      <c r="Z51" s="145"/>
      <c r="AA51" s="36"/>
      <c r="AB51" s="143"/>
      <c r="AC51" s="145"/>
      <c r="AD51" s="36"/>
      <c r="AE51" s="143"/>
      <c r="AF51" s="145"/>
      <c r="AG51" s="36"/>
      <c r="AH51" s="143"/>
      <c r="AI51" s="145"/>
      <c r="AJ51" s="36"/>
      <c r="AK51" s="143"/>
      <c r="AL51" s="87">
        <v>21498</v>
      </c>
      <c r="AM51" s="192"/>
    </row>
    <row r="52" spans="1:40" ht="32.25" customHeight="1" x14ac:dyDescent="0.25">
      <c r="A52" s="146" t="s">
        <v>115</v>
      </c>
      <c r="B52" s="82" t="s">
        <v>116</v>
      </c>
      <c r="C52" s="28">
        <v>0</v>
      </c>
      <c r="D52" s="142">
        <v>0</v>
      </c>
      <c r="E52" s="144" t="s">
        <v>174</v>
      </c>
      <c r="F52" s="28">
        <v>0</v>
      </c>
      <c r="G52" s="142">
        <v>0</v>
      </c>
      <c r="H52" s="144" t="s">
        <v>174</v>
      </c>
      <c r="I52" s="28">
        <v>0</v>
      </c>
      <c r="J52" s="142">
        <v>0</v>
      </c>
      <c r="K52" s="144"/>
      <c r="L52" s="28">
        <v>0</v>
      </c>
      <c r="M52" s="142">
        <v>0</v>
      </c>
      <c r="N52" s="144"/>
      <c r="O52" s="28">
        <v>0</v>
      </c>
      <c r="P52" s="142">
        <v>0</v>
      </c>
      <c r="Q52" s="144"/>
      <c r="R52" s="28">
        <v>0</v>
      </c>
      <c r="S52" s="142">
        <v>0</v>
      </c>
      <c r="T52" s="144"/>
      <c r="U52" s="28">
        <v>0</v>
      </c>
      <c r="V52" s="142">
        <v>0</v>
      </c>
      <c r="W52" s="144"/>
      <c r="X52" s="36">
        <v>0</v>
      </c>
      <c r="Y52" s="142">
        <v>0</v>
      </c>
      <c r="Z52" s="144"/>
      <c r="AA52" s="36">
        <v>0</v>
      </c>
      <c r="AB52" s="142">
        <v>0</v>
      </c>
      <c r="AC52" s="144"/>
      <c r="AD52" s="36">
        <v>0</v>
      </c>
      <c r="AE52" s="142">
        <v>0</v>
      </c>
      <c r="AF52" s="144"/>
      <c r="AG52" s="36">
        <v>0</v>
      </c>
      <c r="AH52" s="142">
        <v>0</v>
      </c>
      <c r="AI52" s="144"/>
      <c r="AJ52" s="36">
        <v>0</v>
      </c>
      <c r="AK52" s="142">
        <v>0</v>
      </c>
      <c r="AL52" s="87">
        <f t="shared" ref="AL52:AL83" si="14">SUM(C52+F52+I52+L52+O52+R52+U52+X52+AA52+AD52+AG52+AJ52)</f>
        <v>0</v>
      </c>
      <c r="AM52" s="192">
        <f t="shared" ref="AM52" si="15">+AL52/AL53</f>
        <v>0</v>
      </c>
    </row>
    <row r="53" spans="1:40" ht="32.25" customHeight="1" x14ac:dyDescent="0.25">
      <c r="A53" s="146"/>
      <c r="B53" s="82" t="s">
        <v>117</v>
      </c>
      <c r="C53" s="28">
        <v>6410</v>
      </c>
      <c r="D53" s="143"/>
      <c r="E53" s="145"/>
      <c r="F53" s="28">
        <v>5291</v>
      </c>
      <c r="G53" s="143"/>
      <c r="H53" s="145"/>
      <c r="I53" s="34">
        <v>6129</v>
      </c>
      <c r="J53" s="143"/>
      <c r="K53" s="145"/>
      <c r="L53" s="34">
        <v>6408</v>
      </c>
      <c r="M53" s="143"/>
      <c r="N53" s="145"/>
      <c r="O53" s="34">
        <v>7229</v>
      </c>
      <c r="P53" s="143"/>
      <c r="Q53" s="145"/>
      <c r="R53" s="34">
        <v>4023</v>
      </c>
      <c r="S53" s="143"/>
      <c r="T53" s="145"/>
      <c r="U53" s="34">
        <v>6891</v>
      </c>
      <c r="V53" s="143"/>
      <c r="W53" s="145"/>
      <c r="X53" s="34">
        <v>4387</v>
      </c>
      <c r="Y53" s="143"/>
      <c r="Z53" s="145"/>
      <c r="AA53" s="34"/>
      <c r="AB53" s="143"/>
      <c r="AC53" s="145"/>
      <c r="AD53" s="34"/>
      <c r="AE53" s="143"/>
      <c r="AF53" s="145"/>
      <c r="AG53" s="34"/>
      <c r="AH53" s="143"/>
      <c r="AI53" s="145"/>
      <c r="AJ53" s="34"/>
      <c r="AK53" s="143"/>
      <c r="AL53" s="87">
        <v>62193</v>
      </c>
      <c r="AM53" s="192"/>
    </row>
    <row r="54" spans="1:40" ht="60" customHeight="1" x14ac:dyDescent="0.25">
      <c r="A54" s="146" t="s">
        <v>118</v>
      </c>
      <c r="B54" s="82" t="s">
        <v>119</v>
      </c>
      <c r="C54" s="34">
        <v>0</v>
      </c>
      <c r="D54" s="142">
        <f>+C54/C55</f>
        <v>0</v>
      </c>
      <c r="E54" s="163" t="s">
        <v>173</v>
      </c>
      <c r="F54" s="34">
        <v>0</v>
      </c>
      <c r="G54" s="142">
        <f>+F54/F55</f>
        <v>0</v>
      </c>
      <c r="H54" s="163" t="s">
        <v>178</v>
      </c>
      <c r="I54" s="34">
        <v>0</v>
      </c>
      <c r="J54" s="142">
        <f>+I54/I55</f>
        <v>0</v>
      </c>
      <c r="K54" s="163" t="s">
        <v>178</v>
      </c>
      <c r="L54" s="34">
        <v>0</v>
      </c>
      <c r="M54" s="142">
        <f>+L54/L55</f>
        <v>0</v>
      </c>
      <c r="N54" s="163"/>
      <c r="O54" s="34">
        <v>0</v>
      </c>
      <c r="P54" s="142">
        <f>+O54/O55</f>
        <v>0</v>
      </c>
      <c r="Q54" s="163"/>
      <c r="R54" s="34">
        <v>0</v>
      </c>
      <c r="S54" s="142">
        <f>+R54/R55</f>
        <v>0</v>
      </c>
      <c r="T54" s="163"/>
      <c r="U54" s="34">
        <v>0</v>
      </c>
      <c r="V54" s="142">
        <f>+U54/U55</f>
        <v>0</v>
      </c>
      <c r="W54" s="163"/>
      <c r="X54" s="34">
        <v>0</v>
      </c>
      <c r="Y54" s="142">
        <f>+X54/X55</f>
        <v>0</v>
      </c>
      <c r="Z54" s="163" t="s">
        <v>189</v>
      </c>
      <c r="AA54" s="34">
        <v>0</v>
      </c>
      <c r="AB54" s="142">
        <f>+AA54/AA55</f>
        <v>0</v>
      </c>
      <c r="AC54" s="163" t="s">
        <v>189</v>
      </c>
      <c r="AD54" s="34">
        <v>1</v>
      </c>
      <c r="AE54" s="172">
        <f>+AD54/AD55</f>
        <v>5.9382422802850359E-4</v>
      </c>
      <c r="AF54" s="163"/>
      <c r="AG54" s="34">
        <v>1</v>
      </c>
      <c r="AH54" s="142">
        <f>+AG54/AG55</f>
        <v>6.6357000663570006E-4</v>
      </c>
      <c r="AI54" s="163"/>
      <c r="AJ54" s="34">
        <v>0</v>
      </c>
      <c r="AK54" s="142">
        <f>+AJ54/AJ55</f>
        <v>0</v>
      </c>
      <c r="AL54" s="87">
        <f t="shared" si="14"/>
        <v>2</v>
      </c>
      <c r="AM54" s="192">
        <f t="shared" ref="AM54" si="16">+AL54/AL55</f>
        <v>9.3031909945111174E-5</v>
      </c>
      <c r="AN54">
        <f>+AM54*100</f>
        <v>9.3031909945111169E-3</v>
      </c>
    </row>
    <row r="55" spans="1:40" ht="51.75" customHeight="1" x14ac:dyDescent="0.25">
      <c r="A55" s="146"/>
      <c r="B55" s="82" t="s">
        <v>120</v>
      </c>
      <c r="C55" s="29">
        <v>2115</v>
      </c>
      <c r="D55" s="143"/>
      <c r="E55" s="164"/>
      <c r="F55" s="34">
        <v>1798</v>
      </c>
      <c r="G55" s="143"/>
      <c r="H55" s="164"/>
      <c r="I55" s="28">
        <v>1949</v>
      </c>
      <c r="J55" s="143"/>
      <c r="K55" s="164"/>
      <c r="L55" s="28">
        <v>1795</v>
      </c>
      <c r="M55" s="143"/>
      <c r="N55" s="164"/>
      <c r="O55" s="28">
        <v>1940</v>
      </c>
      <c r="P55" s="143"/>
      <c r="Q55" s="164"/>
      <c r="R55" s="28">
        <v>1716</v>
      </c>
      <c r="S55" s="143"/>
      <c r="T55" s="164"/>
      <c r="U55" s="28">
        <v>1833</v>
      </c>
      <c r="V55" s="143"/>
      <c r="W55" s="164"/>
      <c r="X55" s="28">
        <v>1844</v>
      </c>
      <c r="Y55" s="143"/>
      <c r="Z55" s="164"/>
      <c r="AA55" s="28">
        <v>1837</v>
      </c>
      <c r="AB55" s="143"/>
      <c r="AC55" s="164"/>
      <c r="AD55" s="28">
        <v>1684</v>
      </c>
      <c r="AE55" s="173"/>
      <c r="AF55" s="164"/>
      <c r="AG55" s="28">
        <v>1507</v>
      </c>
      <c r="AH55" s="143"/>
      <c r="AI55" s="164"/>
      <c r="AJ55" s="28">
        <v>1484</v>
      </c>
      <c r="AK55" s="143"/>
      <c r="AL55" s="87">
        <v>21498</v>
      </c>
      <c r="AM55" s="192"/>
    </row>
    <row r="56" spans="1:40" ht="32.25" customHeight="1" x14ac:dyDescent="0.25">
      <c r="A56" s="146" t="s">
        <v>121</v>
      </c>
      <c r="B56" s="82" t="s">
        <v>122</v>
      </c>
      <c r="C56" s="34">
        <v>0</v>
      </c>
      <c r="D56" s="142">
        <f>(C56/C57)*1000</f>
        <v>0</v>
      </c>
      <c r="E56" s="163" t="s">
        <v>173</v>
      </c>
      <c r="F56" s="34">
        <v>11</v>
      </c>
      <c r="G56" s="142">
        <f>(F56/F57)*1000</f>
        <v>10.55662188099808</v>
      </c>
      <c r="H56" s="163"/>
      <c r="I56" s="34">
        <v>7</v>
      </c>
      <c r="J56" s="142">
        <f>(I56/I57)*1000</f>
        <v>5.8284762697751873</v>
      </c>
      <c r="K56" s="163"/>
      <c r="L56" s="34">
        <v>0</v>
      </c>
      <c r="M56" s="142">
        <f>(L56/L57)*1000</f>
        <v>0</v>
      </c>
      <c r="N56" s="163"/>
      <c r="O56" s="34">
        <v>0</v>
      </c>
      <c r="P56" s="142">
        <f>(O56/O57)*1000</f>
        <v>0</v>
      </c>
      <c r="Q56" s="163"/>
      <c r="R56" s="34">
        <v>0</v>
      </c>
      <c r="S56" s="142">
        <f>(R56/R57)*1000</f>
        <v>0</v>
      </c>
      <c r="T56" s="163" t="s">
        <v>189</v>
      </c>
      <c r="U56" s="34">
        <v>0</v>
      </c>
      <c r="V56" s="142">
        <f>(U56/U57)*1000</f>
        <v>0</v>
      </c>
      <c r="W56" s="163" t="s">
        <v>189</v>
      </c>
      <c r="X56" s="34">
        <v>3</v>
      </c>
      <c r="Y56" s="142">
        <f>(X56/X57)*1000</f>
        <v>2.8222013170272815</v>
      </c>
      <c r="Z56" s="163"/>
      <c r="AA56" s="34">
        <v>0</v>
      </c>
      <c r="AB56" s="142">
        <f>(AA56/AA57)*1000</f>
        <v>0</v>
      </c>
      <c r="AC56" s="163" t="s">
        <v>189</v>
      </c>
      <c r="AD56" s="34">
        <v>7</v>
      </c>
      <c r="AE56" s="142">
        <f>(AD56/AD57)*1000</f>
        <v>6.9033530571992108</v>
      </c>
      <c r="AF56" s="163"/>
      <c r="AG56" s="34">
        <v>6</v>
      </c>
      <c r="AH56" s="142">
        <f>(AG56/AG57)*1000</f>
        <v>6.3224446786090622</v>
      </c>
      <c r="AI56" s="163"/>
      <c r="AJ56" s="34">
        <v>15</v>
      </c>
      <c r="AK56" s="142">
        <f>(AJ56/AJ57)*1000</f>
        <v>16.393442622950822</v>
      </c>
      <c r="AL56" s="87">
        <f t="shared" si="14"/>
        <v>49</v>
      </c>
      <c r="AM56" s="192">
        <f t="shared" ref="AM56" si="17">+AL56/AL57</f>
        <v>3.7674919268030141E-3</v>
      </c>
      <c r="AN56">
        <f>+AM56*1000</f>
        <v>3.767491926803014</v>
      </c>
    </row>
    <row r="57" spans="1:40" ht="32.25" customHeight="1" x14ac:dyDescent="0.25">
      <c r="A57" s="146"/>
      <c r="B57" s="82" t="s">
        <v>123</v>
      </c>
      <c r="C57" s="34">
        <v>1284</v>
      </c>
      <c r="D57" s="143"/>
      <c r="E57" s="164"/>
      <c r="F57" s="34">
        <v>1042</v>
      </c>
      <c r="G57" s="143"/>
      <c r="H57" s="164"/>
      <c r="I57" s="34">
        <v>1201</v>
      </c>
      <c r="J57" s="143"/>
      <c r="K57" s="164"/>
      <c r="L57" s="34">
        <v>1111</v>
      </c>
      <c r="M57" s="143"/>
      <c r="N57" s="164"/>
      <c r="O57" s="34">
        <v>1155</v>
      </c>
      <c r="P57" s="143"/>
      <c r="Q57" s="164"/>
      <c r="R57" s="34">
        <v>1079</v>
      </c>
      <c r="S57" s="143"/>
      <c r="T57" s="164"/>
      <c r="U57" s="34">
        <v>1154</v>
      </c>
      <c r="V57" s="143"/>
      <c r="W57" s="164"/>
      <c r="X57" s="34">
        <v>1063</v>
      </c>
      <c r="Y57" s="143"/>
      <c r="Z57" s="164"/>
      <c r="AA57" s="34">
        <v>1039</v>
      </c>
      <c r="AB57" s="143"/>
      <c r="AC57" s="164"/>
      <c r="AD57" s="34">
        <v>1014</v>
      </c>
      <c r="AE57" s="143"/>
      <c r="AF57" s="164"/>
      <c r="AG57" s="34">
        <v>949</v>
      </c>
      <c r="AH57" s="143"/>
      <c r="AI57" s="164"/>
      <c r="AJ57" s="34">
        <v>915</v>
      </c>
      <c r="AK57" s="143"/>
      <c r="AL57" s="87">
        <f t="shared" si="14"/>
        <v>13006</v>
      </c>
      <c r="AM57" s="192"/>
    </row>
    <row r="58" spans="1:40" ht="32.25" customHeight="1" x14ac:dyDescent="0.25">
      <c r="A58" s="146" t="s">
        <v>124</v>
      </c>
      <c r="B58" s="82" t="s">
        <v>125</v>
      </c>
      <c r="C58" s="34">
        <v>5</v>
      </c>
      <c r="D58" s="172">
        <f>+C58/C59</f>
        <v>1.0060362173038229E-2</v>
      </c>
      <c r="E58" s="163" t="s">
        <v>176</v>
      </c>
      <c r="F58" s="34">
        <v>3</v>
      </c>
      <c r="G58" s="172">
        <f>+F58/F59</f>
        <v>5.0590219224283303E-3</v>
      </c>
      <c r="H58" s="163" t="s">
        <v>179</v>
      </c>
      <c r="I58" s="34">
        <v>9</v>
      </c>
      <c r="J58" s="172">
        <f>+I58/I59</f>
        <v>1.5177065767284991E-2</v>
      </c>
      <c r="K58" s="163" t="s">
        <v>184</v>
      </c>
      <c r="L58" s="34">
        <v>16</v>
      </c>
      <c r="M58" s="172">
        <f>+L58/L59</f>
        <v>3.4934497816593885E-2</v>
      </c>
      <c r="N58" s="163"/>
      <c r="O58" s="34">
        <v>0</v>
      </c>
      <c r="P58" s="172">
        <f>+O58/O59</f>
        <v>0</v>
      </c>
      <c r="Q58" s="163"/>
      <c r="R58" s="34">
        <v>14</v>
      </c>
      <c r="S58" s="172">
        <f>+R58/R59</f>
        <v>1.557285873192436E-2</v>
      </c>
      <c r="T58" s="163"/>
      <c r="U58" s="34">
        <v>10</v>
      </c>
      <c r="V58" s="172">
        <f>+U58/U59</f>
        <v>1.1848341232227487E-2</v>
      </c>
      <c r="W58" s="163"/>
      <c r="X58" s="35">
        <v>111</v>
      </c>
      <c r="Y58" s="172">
        <f>+X58/X59</f>
        <v>0.25754060324825984</v>
      </c>
      <c r="Z58" s="163"/>
      <c r="AA58" s="35">
        <v>108</v>
      </c>
      <c r="AB58" s="172">
        <f>+AA58/AA59</f>
        <v>0.2011173184357542</v>
      </c>
      <c r="AC58" s="163"/>
      <c r="AD58" s="35">
        <v>6</v>
      </c>
      <c r="AE58" s="172">
        <f>+AD58/AD59</f>
        <v>9.9667774086378731E-3</v>
      </c>
      <c r="AF58" s="163"/>
      <c r="AG58" s="35">
        <v>57</v>
      </c>
      <c r="AH58" s="172">
        <f>+AG58/AG59</f>
        <v>0.10382513661202186</v>
      </c>
      <c r="AI58" s="163"/>
      <c r="AJ58" s="35">
        <v>14</v>
      </c>
      <c r="AK58" s="172">
        <f>+AJ58/AJ59</f>
        <v>4.2296072507552872E-2</v>
      </c>
      <c r="AL58" s="87">
        <f t="shared" si="14"/>
        <v>353</v>
      </c>
      <c r="AM58" s="192">
        <f t="shared" ref="AM58" si="18">+AL58/AL59</f>
        <v>5.0522398740518108E-2</v>
      </c>
      <c r="AN58">
        <f>+AM58*100</f>
        <v>5.0522398740518106</v>
      </c>
    </row>
    <row r="59" spans="1:40" ht="32.25" customHeight="1" x14ac:dyDescent="0.25">
      <c r="A59" s="146"/>
      <c r="B59" s="82" t="s">
        <v>126</v>
      </c>
      <c r="C59" s="34">
        <v>497</v>
      </c>
      <c r="D59" s="173"/>
      <c r="E59" s="164"/>
      <c r="F59" s="34">
        <f>584+9</f>
        <v>593</v>
      </c>
      <c r="G59" s="173"/>
      <c r="H59" s="164"/>
      <c r="I59" s="34">
        <f>575+18</f>
        <v>593</v>
      </c>
      <c r="J59" s="173"/>
      <c r="K59" s="164"/>
      <c r="L59" s="34">
        <v>458</v>
      </c>
      <c r="M59" s="173"/>
      <c r="N59" s="164"/>
      <c r="O59" s="34">
        <v>653</v>
      </c>
      <c r="P59" s="173"/>
      <c r="Q59" s="164"/>
      <c r="R59" s="34">
        <f>52+847</f>
        <v>899</v>
      </c>
      <c r="S59" s="173"/>
      <c r="T59" s="164"/>
      <c r="U59" s="34">
        <f>43+801</f>
        <v>844</v>
      </c>
      <c r="V59" s="173"/>
      <c r="W59" s="164"/>
      <c r="X59" s="35">
        <v>431</v>
      </c>
      <c r="Y59" s="173"/>
      <c r="Z59" s="164"/>
      <c r="AA59" s="35">
        <f>108+429</f>
        <v>537</v>
      </c>
      <c r="AB59" s="173"/>
      <c r="AC59" s="164"/>
      <c r="AD59" s="35">
        <f>596+6</f>
        <v>602</v>
      </c>
      <c r="AE59" s="173"/>
      <c r="AF59" s="164"/>
      <c r="AG59" s="35">
        <f>492+AG58</f>
        <v>549</v>
      </c>
      <c r="AH59" s="173"/>
      <c r="AI59" s="164"/>
      <c r="AJ59" s="35">
        <f>+AJ58+317</f>
        <v>331</v>
      </c>
      <c r="AK59" s="173"/>
      <c r="AL59" s="87">
        <f t="shared" si="14"/>
        <v>6987</v>
      </c>
      <c r="AM59" s="192"/>
    </row>
    <row r="60" spans="1:40" s="61" customFormat="1" ht="32.25" customHeight="1" x14ac:dyDescent="0.25">
      <c r="A60" s="169" t="s">
        <v>133</v>
      </c>
      <c r="B60" s="83" t="s">
        <v>134</v>
      </c>
      <c r="C60" s="57">
        <v>2846</v>
      </c>
      <c r="D60" s="165">
        <f>+C60/C61</f>
        <v>10.699248120300751</v>
      </c>
      <c r="E60" s="167"/>
      <c r="F60" s="57">
        <v>5062</v>
      </c>
      <c r="G60" s="165">
        <f>+F60/F61</f>
        <v>15.020771513353116</v>
      </c>
      <c r="H60" s="167"/>
      <c r="I60" s="57">
        <v>7500</v>
      </c>
      <c r="J60" s="165">
        <f>+I60/I61</f>
        <v>27.075812274368232</v>
      </c>
      <c r="K60" s="167"/>
      <c r="L60" s="57">
        <v>7938</v>
      </c>
      <c r="M60" s="165">
        <f>+L60/L61</f>
        <v>28.970802919708028</v>
      </c>
      <c r="N60" s="167"/>
      <c r="O60" s="57">
        <v>9135</v>
      </c>
      <c r="P60" s="165">
        <f>+O60/O61</f>
        <v>33.584558823529413</v>
      </c>
      <c r="Q60" s="167"/>
      <c r="R60" s="57">
        <v>11611</v>
      </c>
      <c r="S60" s="165">
        <f>+R60/R61</f>
        <v>31.296495956873315</v>
      </c>
      <c r="T60" s="167"/>
      <c r="U60" s="57">
        <v>14197</v>
      </c>
      <c r="V60" s="165">
        <f>+U60/U61</f>
        <v>39.218232044198892</v>
      </c>
      <c r="W60" s="167"/>
      <c r="X60" s="57">
        <v>15476</v>
      </c>
      <c r="Y60" s="165">
        <f>+X60/X61</f>
        <v>49.444089456869008</v>
      </c>
      <c r="Z60" s="167"/>
      <c r="AA60" s="57">
        <v>15245</v>
      </c>
      <c r="AB60" s="165">
        <f>+AA60/AA61</f>
        <v>49.177419354838712</v>
      </c>
      <c r="AC60" s="167"/>
      <c r="AD60" s="57">
        <v>15699</v>
      </c>
      <c r="AE60" s="165">
        <f>+AD60/AD61</f>
        <v>43.974789915966383</v>
      </c>
      <c r="AF60" s="167"/>
      <c r="AG60" s="57">
        <v>14497</v>
      </c>
      <c r="AH60" s="165">
        <f>+AG60/AG61</f>
        <v>54.5</v>
      </c>
      <c r="AI60" s="167"/>
      <c r="AJ60" s="57">
        <v>12088</v>
      </c>
      <c r="AK60" s="165">
        <f>+AJ60/AJ61</f>
        <v>62.632124352331608</v>
      </c>
      <c r="AL60" s="87">
        <f t="shared" si="14"/>
        <v>131294</v>
      </c>
      <c r="AM60" s="192">
        <f t="shared" ref="AM60" si="19">+AL60/AL61</f>
        <v>36.490828237909952</v>
      </c>
    </row>
    <row r="61" spans="1:40" s="61" customFormat="1" ht="32.25" customHeight="1" x14ac:dyDescent="0.25">
      <c r="A61" s="169"/>
      <c r="B61" s="83" t="s">
        <v>135</v>
      </c>
      <c r="C61" s="57">
        <v>266</v>
      </c>
      <c r="D61" s="166"/>
      <c r="E61" s="168"/>
      <c r="F61" s="57">
        <v>337</v>
      </c>
      <c r="G61" s="166"/>
      <c r="H61" s="168"/>
      <c r="I61" s="57">
        <v>277</v>
      </c>
      <c r="J61" s="166"/>
      <c r="K61" s="168"/>
      <c r="L61" s="57">
        <v>274</v>
      </c>
      <c r="M61" s="166"/>
      <c r="N61" s="168"/>
      <c r="O61" s="57">
        <v>272</v>
      </c>
      <c r="P61" s="166"/>
      <c r="Q61" s="168"/>
      <c r="R61" s="57">
        <v>371</v>
      </c>
      <c r="S61" s="166"/>
      <c r="T61" s="168"/>
      <c r="U61" s="57">
        <v>362</v>
      </c>
      <c r="V61" s="166"/>
      <c r="W61" s="168"/>
      <c r="X61" s="57">
        <v>313</v>
      </c>
      <c r="Y61" s="166"/>
      <c r="Z61" s="168"/>
      <c r="AA61" s="57">
        <v>310</v>
      </c>
      <c r="AB61" s="166"/>
      <c r="AC61" s="168"/>
      <c r="AD61" s="57">
        <v>357</v>
      </c>
      <c r="AE61" s="166"/>
      <c r="AF61" s="168"/>
      <c r="AG61" s="57">
        <v>266</v>
      </c>
      <c r="AH61" s="166"/>
      <c r="AI61" s="168"/>
      <c r="AJ61" s="57">
        <v>193</v>
      </c>
      <c r="AK61" s="166"/>
      <c r="AL61" s="87">
        <f t="shared" si="14"/>
        <v>3598</v>
      </c>
      <c r="AM61" s="192"/>
    </row>
    <row r="62" spans="1:40" s="61" customFormat="1" ht="32.25" customHeight="1" x14ac:dyDescent="0.25">
      <c r="A62" s="169" t="s">
        <v>136</v>
      </c>
      <c r="B62" s="83" t="s">
        <v>137</v>
      </c>
      <c r="C62" s="57">
        <v>308</v>
      </c>
      <c r="D62" s="165">
        <f>+C62/C63</f>
        <v>5.1333333333333337</v>
      </c>
      <c r="E62" s="167"/>
      <c r="F62" s="57">
        <v>498</v>
      </c>
      <c r="G62" s="165">
        <f>+F62/F63</f>
        <v>5.6590909090909092</v>
      </c>
      <c r="H62" s="167"/>
      <c r="I62" s="57">
        <v>548</v>
      </c>
      <c r="J62" s="165">
        <f>+I62/I63</f>
        <v>8.8387096774193541</v>
      </c>
      <c r="K62" s="167"/>
      <c r="L62" s="57">
        <v>410</v>
      </c>
      <c r="M62" s="165">
        <f>+L62/L63</f>
        <v>9.3181818181818183</v>
      </c>
      <c r="N62" s="167"/>
      <c r="O62" s="57">
        <v>581</v>
      </c>
      <c r="P62" s="165">
        <f>+O62/O63</f>
        <v>7.5454545454545459</v>
      </c>
      <c r="Q62" s="167"/>
      <c r="R62" s="57">
        <v>526</v>
      </c>
      <c r="S62" s="165">
        <f>+R62/R63</f>
        <v>7.9696969696969697</v>
      </c>
      <c r="T62" s="167"/>
      <c r="U62" s="57">
        <v>687</v>
      </c>
      <c r="V62" s="165">
        <f>+U62/U63</f>
        <v>11.45</v>
      </c>
      <c r="W62" s="167"/>
      <c r="X62" s="57">
        <v>729</v>
      </c>
      <c r="Y62" s="165">
        <f>+X62/X63</f>
        <v>8.0109890109890109</v>
      </c>
      <c r="Z62" s="167"/>
      <c r="AA62" s="57">
        <v>680</v>
      </c>
      <c r="AB62" s="165">
        <f>+AA62/AA63</f>
        <v>11.525423728813559</v>
      </c>
      <c r="AC62" s="167"/>
      <c r="AD62" s="57">
        <v>557</v>
      </c>
      <c r="AE62" s="165">
        <f>+AD62/AD63</f>
        <v>10.127272727272727</v>
      </c>
      <c r="AF62" s="167"/>
      <c r="AG62" s="57">
        <v>474</v>
      </c>
      <c r="AH62" s="165">
        <f>+AG62/AG63</f>
        <v>9.6734693877551017</v>
      </c>
      <c r="AI62" s="167"/>
      <c r="AJ62" s="57">
        <v>281</v>
      </c>
      <c r="AK62" s="165">
        <f>+AJ62/AJ63</f>
        <v>6.2444444444444445</v>
      </c>
      <c r="AL62" s="87">
        <f t="shared" si="14"/>
        <v>6279</v>
      </c>
      <c r="AM62" s="192">
        <f t="shared" ref="AM62" si="20">+AL62/AL63</f>
        <v>8.3055555555555554</v>
      </c>
    </row>
    <row r="63" spans="1:40" s="61" customFormat="1" ht="32.25" customHeight="1" x14ac:dyDescent="0.25">
      <c r="A63" s="169"/>
      <c r="B63" s="83" t="s">
        <v>138</v>
      </c>
      <c r="C63" s="57">
        <v>60</v>
      </c>
      <c r="D63" s="166"/>
      <c r="E63" s="168"/>
      <c r="F63" s="57">
        <v>88</v>
      </c>
      <c r="G63" s="166"/>
      <c r="H63" s="168"/>
      <c r="I63" s="57">
        <v>62</v>
      </c>
      <c r="J63" s="166"/>
      <c r="K63" s="168"/>
      <c r="L63" s="57">
        <v>44</v>
      </c>
      <c r="M63" s="166"/>
      <c r="N63" s="168"/>
      <c r="O63" s="57">
        <v>77</v>
      </c>
      <c r="P63" s="166"/>
      <c r="Q63" s="168"/>
      <c r="R63" s="57">
        <v>66</v>
      </c>
      <c r="S63" s="166"/>
      <c r="T63" s="168"/>
      <c r="U63" s="57">
        <v>60</v>
      </c>
      <c r="V63" s="166"/>
      <c r="W63" s="168"/>
      <c r="X63" s="57">
        <v>91</v>
      </c>
      <c r="Y63" s="166"/>
      <c r="Z63" s="168"/>
      <c r="AA63" s="57">
        <v>59</v>
      </c>
      <c r="AB63" s="166"/>
      <c r="AC63" s="168"/>
      <c r="AD63" s="57">
        <v>55</v>
      </c>
      <c r="AE63" s="166"/>
      <c r="AF63" s="168"/>
      <c r="AG63" s="57">
        <v>49</v>
      </c>
      <c r="AH63" s="166"/>
      <c r="AI63" s="168"/>
      <c r="AJ63" s="57">
        <v>45</v>
      </c>
      <c r="AK63" s="166"/>
      <c r="AL63" s="87">
        <f t="shared" si="14"/>
        <v>756</v>
      </c>
      <c r="AM63" s="192"/>
    </row>
    <row r="64" spans="1:40" s="61" customFormat="1" ht="32.25" customHeight="1" x14ac:dyDescent="0.25">
      <c r="A64" s="169" t="s">
        <v>139</v>
      </c>
      <c r="B64" s="83" t="s">
        <v>140</v>
      </c>
      <c r="C64" s="57">
        <v>1389</v>
      </c>
      <c r="D64" s="165">
        <f>+C64/C65</f>
        <v>4.9607142857142854</v>
      </c>
      <c r="E64" s="167"/>
      <c r="F64" s="57">
        <v>1848</v>
      </c>
      <c r="G64" s="165">
        <f>+F64/F65</f>
        <v>5.8481012658227849</v>
      </c>
      <c r="H64" s="167"/>
      <c r="I64" s="57">
        <v>1935</v>
      </c>
      <c r="J64" s="165">
        <f>+I64/I65</f>
        <v>7.062043795620438</v>
      </c>
      <c r="K64" s="167"/>
      <c r="L64" s="57">
        <v>1429</v>
      </c>
      <c r="M64" s="165">
        <f>+L64/L65</f>
        <v>5.808943089430894</v>
      </c>
      <c r="N64" s="167"/>
      <c r="O64" s="57">
        <v>1866</v>
      </c>
      <c r="P64" s="165">
        <f>+O64/O65</f>
        <v>5.8864353312302837</v>
      </c>
      <c r="Q64" s="167"/>
      <c r="R64" s="57">
        <v>2271</v>
      </c>
      <c r="S64" s="165">
        <f>+R64/R65</f>
        <v>7.3973941368078178</v>
      </c>
      <c r="T64" s="167"/>
      <c r="U64" s="57">
        <v>2388</v>
      </c>
      <c r="V64" s="165">
        <f>+U64/U65</f>
        <v>8.0404040404040398</v>
      </c>
      <c r="W64" s="167"/>
      <c r="X64" s="57">
        <v>2926</v>
      </c>
      <c r="Y64" s="165">
        <f>+X64/X65</f>
        <v>9.625</v>
      </c>
      <c r="Z64" s="167"/>
      <c r="AA64" s="57">
        <v>2382</v>
      </c>
      <c r="AB64" s="165">
        <f>+AA64/AA65</f>
        <v>9.3046875</v>
      </c>
      <c r="AC64" s="167"/>
      <c r="AD64" s="57">
        <v>1955</v>
      </c>
      <c r="AE64" s="165">
        <f>+AD64/AD65</f>
        <v>8.1458333333333339</v>
      </c>
      <c r="AF64" s="167"/>
      <c r="AG64" s="57">
        <v>1166</v>
      </c>
      <c r="AH64" s="165">
        <f>+AG64/AG65</f>
        <v>7.1097560975609753</v>
      </c>
      <c r="AI64" s="167"/>
      <c r="AJ64" s="57">
        <v>487</v>
      </c>
      <c r="AK64" s="165">
        <f>+AJ64/AJ65</f>
        <v>4.5092592592592595</v>
      </c>
      <c r="AL64" s="87">
        <f t="shared" si="14"/>
        <v>22042</v>
      </c>
      <c r="AM64" s="192">
        <f t="shared" ref="AM64" si="21">+AL64/AL65</f>
        <v>7.0897394660662592</v>
      </c>
    </row>
    <row r="65" spans="1:40" s="61" customFormat="1" ht="32.25" customHeight="1" x14ac:dyDescent="0.25">
      <c r="A65" s="169"/>
      <c r="B65" s="83" t="s">
        <v>141</v>
      </c>
      <c r="C65" s="57">
        <v>280</v>
      </c>
      <c r="D65" s="166"/>
      <c r="E65" s="168"/>
      <c r="F65" s="57">
        <v>316</v>
      </c>
      <c r="G65" s="166"/>
      <c r="H65" s="168"/>
      <c r="I65" s="57">
        <v>274</v>
      </c>
      <c r="J65" s="166"/>
      <c r="K65" s="168"/>
      <c r="L65" s="57">
        <v>246</v>
      </c>
      <c r="M65" s="166"/>
      <c r="N65" s="168"/>
      <c r="O65" s="57">
        <v>317</v>
      </c>
      <c r="P65" s="166"/>
      <c r="Q65" s="168"/>
      <c r="R65" s="57">
        <v>307</v>
      </c>
      <c r="S65" s="166"/>
      <c r="T65" s="168"/>
      <c r="U65" s="57">
        <v>297</v>
      </c>
      <c r="V65" s="166"/>
      <c r="W65" s="168"/>
      <c r="X65" s="57">
        <v>304</v>
      </c>
      <c r="Y65" s="166"/>
      <c r="Z65" s="168"/>
      <c r="AA65" s="57">
        <v>256</v>
      </c>
      <c r="AB65" s="166"/>
      <c r="AC65" s="168"/>
      <c r="AD65" s="57">
        <v>240</v>
      </c>
      <c r="AE65" s="166"/>
      <c r="AF65" s="168"/>
      <c r="AG65" s="57">
        <v>164</v>
      </c>
      <c r="AH65" s="166"/>
      <c r="AI65" s="168"/>
      <c r="AJ65" s="57">
        <v>108</v>
      </c>
      <c r="AK65" s="166"/>
      <c r="AL65" s="87">
        <f t="shared" si="14"/>
        <v>3109</v>
      </c>
      <c r="AM65" s="192"/>
    </row>
    <row r="66" spans="1:40" s="61" customFormat="1" ht="32.25" customHeight="1" x14ac:dyDescent="0.25">
      <c r="A66" s="169" t="s">
        <v>145</v>
      </c>
      <c r="B66" s="83" t="s">
        <v>146</v>
      </c>
      <c r="C66" s="57">
        <v>1150</v>
      </c>
      <c r="D66" s="165">
        <f>+C66/C67</f>
        <v>7.232704402515723</v>
      </c>
      <c r="E66" s="167"/>
      <c r="F66" s="57">
        <v>1714</v>
      </c>
      <c r="G66" s="165">
        <f>+F66/F67</f>
        <v>8.009345794392523</v>
      </c>
      <c r="H66" s="167"/>
      <c r="I66" s="57">
        <v>1550</v>
      </c>
      <c r="J66" s="165">
        <f>+I66/I67</f>
        <v>6.4049586776859506</v>
      </c>
      <c r="K66" s="167"/>
      <c r="L66" s="57">
        <v>1245</v>
      </c>
      <c r="M66" s="165">
        <f>+L66/L67</f>
        <v>6.4175257731958766</v>
      </c>
      <c r="N66" s="167"/>
      <c r="O66" s="57">
        <v>2193</v>
      </c>
      <c r="P66" s="165">
        <f>+O66/O67</f>
        <v>8.3384030418250958</v>
      </c>
      <c r="Q66" s="167"/>
      <c r="R66" s="57">
        <v>2099</v>
      </c>
      <c r="S66" s="165">
        <f>+R66/R67</f>
        <v>8.8565400843881861</v>
      </c>
      <c r="T66" s="167"/>
      <c r="U66" s="57">
        <v>2796</v>
      </c>
      <c r="V66" s="165">
        <f>+U66/U67</f>
        <v>11.007874015748031</v>
      </c>
      <c r="W66" s="167"/>
      <c r="X66" s="57">
        <v>2772</v>
      </c>
      <c r="Y66" s="165">
        <f>+X66/X67</f>
        <v>10.043478260869565</v>
      </c>
      <c r="Z66" s="167"/>
      <c r="AA66" s="57">
        <v>2187</v>
      </c>
      <c r="AB66" s="165">
        <f>+AA66/AA67</f>
        <v>8.926530612244898</v>
      </c>
      <c r="AC66" s="167"/>
      <c r="AD66" s="57">
        <v>2206</v>
      </c>
      <c r="AE66" s="165">
        <f>+AD66/AD67</f>
        <v>9.3872340425531906</v>
      </c>
      <c r="AF66" s="167"/>
      <c r="AG66" s="57">
        <v>1289</v>
      </c>
      <c r="AH66" s="165">
        <f>+AG66/AG67</f>
        <v>8.5933333333333337</v>
      </c>
      <c r="AI66" s="167"/>
      <c r="AJ66" s="57">
        <v>705</v>
      </c>
      <c r="AK66" s="165">
        <f>+AJ66/AJ67</f>
        <v>7.833333333333333</v>
      </c>
      <c r="AL66" s="87">
        <f t="shared" si="14"/>
        <v>21906</v>
      </c>
      <c r="AM66" s="192">
        <f t="shared" ref="AM66" si="22">+AL66/AL67</f>
        <v>8.5603751465416185</v>
      </c>
    </row>
    <row r="67" spans="1:40" s="61" customFormat="1" ht="32.25" customHeight="1" x14ac:dyDescent="0.25">
      <c r="A67" s="169"/>
      <c r="B67" s="83" t="s">
        <v>147</v>
      </c>
      <c r="C67" s="57">
        <v>159</v>
      </c>
      <c r="D67" s="166"/>
      <c r="E67" s="168"/>
      <c r="F67" s="57">
        <v>214</v>
      </c>
      <c r="G67" s="166"/>
      <c r="H67" s="168"/>
      <c r="I67" s="57">
        <v>242</v>
      </c>
      <c r="J67" s="166"/>
      <c r="K67" s="168"/>
      <c r="L67" s="57">
        <v>194</v>
      </c>
      <c r="M67" s="166"/>
      <c r="N67" s="168"/>
      <c r="O67" s="57">
        <v>263</v>
      </c>
      <c r="P67" s="166"/>
      <c r="Q67" s="168"/>
      <c r="R67" s="57">
        <v>237</v>
      </c>
      <c r="S67" s="166"/>
      <c r="T67" s="168"/>
      <c r="U67" s="57">
        <v>254</v>
      </c>
      <c r="V67" s="166"/>
      <c r="W67" s="168"/>
      <c r="X67" s="57">
        <v>276</v>
      </c>
      <c r="Y67" s="166"/>
      <c r="Z67" s="168"/>
      <c r="AA67" s="57">
        <v>245</v>
      </c>
      <c r="AB67" s="166"/>
      <c r="AC67" s="168"/>
      <c r="AD67" s="57">
        <v>235</v>
      </c>
      <c r="AE67" s="166"/>
      <c r="AF67" s="168"/>
      <c r="AG67" s="57">
        <v>150</v>
      </c>
      <c r="AH67" s="166"/>
      <c r="AI67" s="168"/>
      <c r="AJ67" s="57">
        <v>90</v>
      </c>
      <c r="AK67" s="166"/>
      <c r="AL67" s="87">
        <f t="shared" si="14"/>
        <v>2559</v>
      </c>
      <c r="AM67" s="192"/>
    </row>
    <row r="68" spans="1:40" ht="32.25" customHeight="1" x14ac:dyDescent="0.25">
      <c r="A68" s="146" t="s">
        <v>148</v>
      </c>
      <c r="B68" s="82" t="s">
        <v>149</v>
      </c>
      <c r="C68" s="42">
        <v>468</v>
      </c>
      <c r="D68" s="142">
        <f>+C68/C69</f>
        <v>0.48197734294541711</v>
      </c>
      <c r="E68" s="144"/>
      <c r="F68" s="42">
        <v>309</v>
      </c>
      <c r="G68" s="142">
        <f>+F68/F69</f>
        <v>0.39163498098859317</v>
      </c>
      <c r="H68" s="144"/>
      <c r="I68" s="42">
        <v>309</v>
      </c>
      <c r="J68" s="142">
        <f>+I68/I69</f>
        <v>0.36098130841121495</v>
      </c>
      <c r="K68" s="144"/>
      <c r="L68" s="42">
        <v>309</v>
      </c>
      <c r="M68" s="142">
        <f>+L68/L69</f>
        <v>0.36098130841121495</v>
      </c>
      <c r="N68" s="144"/>
      <c r="O68" s="42">
        <v>309</v>
      </c>
      <c r="P68" s="142">
        <f>+O68/O69</f>
        <v>0.36098130841121495</v>
      </c>
      <c r="Q68" s="144"/>
      <c r="R68" s="42">
        <f>+R69*(2.48/2)</f>
        <v>1030.44</v>
      </c>
      <c r="S68" s="142">
        <f>+R68/R69</f>
        <v>1.24</v>
      </c>
      <c r="T68" s="144"/>
      <c r="U68" s="42">
        <f>+U69*1.09</f>
        <v>1018.0600000000001</v>
      </c>
      <c r="V68" s="142">
        <f>+U68/U69</f>
        <v>1.0900000000000001</v>
      </c>
      <c r="W68" s="144"/>
      <c r="X68" s="43">
        <v>345</v>
      </c>
      <c r="Y68" s="142">
        <f>+X68/X69</f>
        <v>0.36050156739811912</v>
      </c>
      <c r="Z68" s="144"/>
      <c r="AA68" s="43">
        <v>205</v>
      </c>
      <c r="AB68" s="142">
        <f>+AA68/AA69</f>
        <v>0.26214833759590794</v>
      </c>
      <c r="AC68" s="144"/>
      <c r="AD68" s="43">
        <v>292</v>
      </c>
      <c r="AE68" s="142">
        <f>+AD68/AD69</f>
        <v>0.34844868735083534</v>
      </c>
      <c r="AF68" s="144"/>
      <c r="AG68" s="43">
        <v>526</v>
      </c>
      <c r="AH68" s="142">
        <f>+AG68/AG69</f>
        <v>0.73980309423347401</v>
      </c>
      <c r="AI68" s="144"/>
      <c r="AJ68" s="43">
        <v>420</v>
      </c>
      <c r="AK68" s="142">
        <f>+AJ68/AJ69</f>
        <v>0.67524115755627012</v>
      </c>
      <c r="AL68" s="87">
        <f t="shared" si="14"/>
        <v>5540.5</v>
      </c>
      <c r="AM68" s="192">
        <f t="shared" ref="AM68" si="23">+AL68/AL69</f>
        <v>0.55388383484954518</v>
      </c>
    </row>
    <row r="69" spans="1:40" ht="32.25" customHeight="1" x14ac:dyDescent="0.25">
      <c r="A69" s="146"/>
      <c r="B69" s="82" t="s">
        <v>150</v>
      </c>
      <c r="C69" s="28">
        <v>971</v>
      </c>
      <c r="D69" s="143"/>
      <c r="E69" s="145"/>
      <c r="F69" s="28">
        <v>789</v>
      </c>
      <c r="G69" s="143"/>
      <c r="H69" s="145"/>
      <c r="I69" s="28">
        <v>856</v>
      </c>
      <c r="J69" s="143"/>
      <c r="K69" s="145"/>
      <c r="L69" s="28">
        <v>856</v>
      </c>
      <c r="M69" s="143"/>
      <c r="N69" s="145"/>
      <c r="O69" s="28">
        <v>856</v>
      </c>
      <c r="P69" s="143"/>
      <c r="Q69" s="145"/>
      <c r="R69" s="28">
        <v>831</v>
      </c>
      <c r="S69" s="143"/>
      <c r="T69" s="145"/>
      <c r="U69" s="28">
        <v>934</v>
      </c>
      <c r="V69" s="143"/>
      <c r="W69" s="145"/>
      <c r="X69" s="36">
        <v>957</v>
      </c>
      <c r="Y69" s="143"/>
      <c r="Z69" s="145"/>
      <c r="AA69" s="36">
        <v>782</v>
      </c>
      <c r="AB69" s="143"/>
      <c r="AC69" s="145"/>
      <c r="AD69" s="36">
        <v>838</v>
      </c>
      <c r="AE69" s="143"/>
      <c r="AF69" s="145"/>
      <c r="AG69" s="36">
        <v>711</v>
      </c>
      <c r="AH69" s="143"/>
      <c r="AI69" s="145"/>
      <c r="AJ69" s="36">
        <v>622</v>
      </c>
      <c r="AK69" s="143"/>
      <c r="AL69" s="87">
        <f t="shared" si="14"/>
        <v>10003</v>
      </c>
      <c r="AM69" s="192"/>
    </row>
    <row r="70" spans="1:40" ht="32.25" customHeight="1" x14ac:dyDescent="0.25">
      <c r="A70" s="146" t="s">
        <v>151</v>
      </c>
      <c r="B70" s="82" t="s">
        <v>152</v>
      </c>
      <c r="C70" s="28">
        <v>0</v>
      </c>
      <c r="D70" s="142">
        <v>0</v>
      </c>
      <c r="E70" s="163" t="s">
        <v>175</v>
      </c>
      <c r="F70" s="28">
        <v>0</v>
      </c>
      <c r="G70" s="142">
        <v>0</v>
      </c>
      <c r="H70" s="163" t="s">
        <v>175</v>
      </c>
      <c r="I70" s="28">
        <v>0</v>
      </c>
      <c r="J70" s="142">
        <v>0</v>
      </c>
      <c r="K70" s="163" t="s">
        <v>175</v>
      </c>
      <c r="L70" s="28">
        <v>0</v>
      </c>
      <c r="M70" s="142">
        <v>0</v>
      </c>
      <c r="N70" s="163"/>
      <c r="O70" s="28">
        <v>0</v>
      </c>
      <c r="P70" s="142">
        <v>0</v>
      </c>
      <c r="Q70" s="163"/>
      <c r="R70" s="28">
        <v>0</v>
      </c>
      <c r="S70" s="142">
        <v>0</v>
      </c>
      <c r="T70" s="163"/>
      <c r="U70" s="28">
        <v>0</v>
      </c>
      <c r="V70" s="142">
        <v>0</v>
      </c>
      <c r="W70" s="163"/>
      <c r="X70" s="36">
        <v>0</v>
      </c>
      <c r="Y70" s="142">
        <v>0</v>
      </c>
      <c r="Z70" s="163" t="s">
        <v>196</v>
      </c>
      <c r="AA70" s="36">
        <v>0</v>
      </c>
      <c r="AB70" s="142">
        <v>0</v>
      </c>
      <c r="AC70" s="163" t="s">
        <v>196</v>
      </c>
      <c r="AD70" s="36">
        <v>0</v>
      </c>
      <c r="AE70" s="142">
        <v>0</v>
      </c>
      <c r="AF70" s="163" t="s">
        <v>196</v>
      </c>
      <c r="AG70" s="36">
        <v>0</v>
      </c>
      <c r="AH70" s="142">
        <v>0</v>
      </c>
      <c r="AI70" s="163" t="s">
        <v>196</v>
      </c>
      <c r="AJ70" s="36">
        <v>0</v>
      </c>
      <c r="AK70" s="142">
        <v>0</v>
      </c>
      <c r="AL70" s="87">
        <f t="shared" si="14"/>
        <v>0</v>
      </c>
      <c r="AM70" s="192" t="e">
        <f t="shared" ref="AM70" si="24">+AL70/AL71</f>
        <v>#DIV/0!</v>
      </c>
    </row>
    <row r="71" spans="1:40" ht="32.25" customHeight="1" x14ac:dyDescent="0.25">
      <c r="A71" s="146"/>
      <c r="B71" s="82" t="s">
        <v>153</v>
      </c>
      <c r="C71" s="28">
        <v>0</v>
      </c>
      <c r="D71" s="143"/>
      <c r="E71" s="164"/>
      <c r="F71" s="28">
        <v>0</v>
      </c>
      <c r="G71" s="143"/>
      <c r="H71" s="164"/>
      <c r="I71" s="28">
        <v>0</v>
      </c>
      <c r="J71" s="143"/>
      <c r="K71" s="164"/>
      <c r="L71" s="28">
        <v>0</v>
      </c>
      <c r="M71" s="143"/>
      <c r="N71" s="164"/>
      <c r="O71" s="28">
        <v>0</v>
      </c>
      <c r="P71" s="143"/>
      <c r="Q71" s="164"/>
      <c r="R71" s="28">
        <v>0</v>
      </c>
      <c r="S71" s="143"/>
      <c r="T71" s="164"/>
      <c r="U71" s="28">
        <v>0</v>
      </c>
      <c r="V71" s="143"/>
      <c r="W71" s="164"/>
      <c r="X71" s="36">
        <v>0</v>
      </c>
      <c r="Y71" s="143"/>
      <c r="Z71" s="164"/>
      <c r="AA71" s="36">
        <v>0</v>
      </c>
      <c r="AB71" s="143"/>
      <c r="AC71" s="164"/>
      <c r="AD71" s="36">
        <v>0</v>
      </c>
      <c r="AE71" s="143"/>
      <c r="AF71" s="164"/>
      <c r="AG71" s="36">
        <v>0</v>
      </c>
      <c r="AH71" s="143"/>
      <c r="AI71" s="164"/>
      <c r="AJ71" s="36">
        <v>0</v>
      </c>
      <c r="AK71" s="143"/>
      <c r="AL71" s="87">
        <f t="shared" si="14"/>
        <v>0</v>
      </c>
      <c r="AM71" s="192"/>
    </row>
    <row r="72" spans="1:40" ht="32.25" customHeight="1" x14ac:dyDescent="0.25">
      <c r="A72" s="194" t="s">
        <v>154</v>
      </c>
      <c r="B72" s="82" t="s">
        <v>155</v>
      </c>
      <c r="C72" s="34">
        <v>78548</v>
      </c>
      <c r="D72" s="142">
        <f>+C72/C73</f>
        <v>56.428160919540232</v>
      </c>
      <c r="E72" s="144"/>
      <c r="F72" s="34">
        <f>+F73*40</f>
        <v>49440</v>
      </c>
      <c r="G72" s="142">
        <f>+F72/F73</f>
        <v>40</v>
      </c>
      <c r="H72" s="144"/>
      <c r="I72" s="34">
        <f>+I73*29</f>
        <v>39817</v>
      </c>
      <c r="J72" s="142">
        <f>+I72/I73</f>
        <v>29</v>
      </c>
      <c r="K72" s="144"/>
      <c r="L72" s="34">
        <f>+L73*30</f>
        <v>34740</v>
      </c>
      <c r="M72" s="142">
        <f>+L72/L73</f>
        <v>30</v>
      </c>
      <c r="N72" s="144"/>
      <c r="O72" s="34">
        <f>+O73*28</f>
        <v>36288</v>
      </c>
      <c r="P72" s="142">
        <f>+O72/O73</f>
        <v>28</v>
      </c>
      <c r="Q72" s="144"/>
      <c r="R72" s="34">
        <f>+R73*70</f>
        <v>74900</v>
      </c>
      <c r="S72" s="142">
        <f>+R72/R73</f>
        <v>70</v>
      </c>
      <c r="T72" s="144"/>
      <c r="U72" s="34">
        <f>+U73*89</f>
        <v>89089</v>
      </c>
      <c r="V72" s="142">
        <f>+U72/U73</f>
        <v>89</v>
      </c>
      <c r="W72" s="144"/>
      <c r="X72" s="35">
        <v>1443</v>
      </c>
      <c r="Y72" s="142">
        <f>+X72/X73</f>
        <v>1.4301288404360752</v>
      </c>
      <c r="Z72" s="144"/>
      <c r="AA72" s="35">
        <v>76178</v>
      </c>
      <c r="AB72" s="142">
        <f>+AA72/AA73</f>
        <v>82</v>
      </c>
      <c r="AC72" s="144"/>
      <c r="AD72" s="35">
        <v>43050</v>
      </c>
      <c r="AE72" s="142">
        <f>+AD72/AD73</f>
        <v>50</v>
      </c>
      <c r="AF72" s="144"/>
      <c r="AG72" s="35">
        <f>+AG73*73</f>
        <v>55115</v>
      </c>
      <c r="AH72" s="142">
        <f>+AG72/AG73</f>
        <v>73</v>
      </c>
      <c r="AI72" s="144"/>
      <c r="AJ72" s="35">
        <f>+AJ73*66</f>
        <v>48444</v>
      </c>
      <c r="AK72" s="142">
        <f>+AJ72/AJ73</f>
        <v>66</v>
      </c>
      <c r="AL72" s="87">
        <f t="shared" si="14"/>
        <v>627052</v>
      </c>
      <c r="AM72" s="192">
        <f t="shared" ref="AM72" si="25">+AL72/AL73</f>
        <v>48.934914936787891</v>
      </c>
    </row>
    <row r="73" spans="1:40" ht="32.25" customHeight="1" x14ac:dyDescent="0.25">
      <c r="A73" s="194"/>
      <c r="B73" s="82" t="s">
        <v>156</v>
      </c>
      <c r="C73" s="34">
        <v>1392</v>
      </c>
      <c r="D73" s="143"/>
      <c r="E73" s="145"/>
      <c r="F73" s="34">
        <v>1236</v>
      </c>
      <c r="G73" s="143"/>
      <c r="H73" s="145"/>
      <c r="I73" s="34">
        <v>1373</v>
      </c>
      <c r="J73" s="143"/>
      <c r="K73" s="145"/>
      <c r="L73" s="34">
        <v>1158</v>
      </c>
      <c r="M73" s="143"/>
      <c r="N73" s="145"/>
      <c r="O73" s="34">
        <v>1296</v>
      </c>
      <c r="P73" s="143"/>
      <c r="Q73" s="145"/>
      <c r="R73" s="34">
        <v>1070</v>
      </c>
      <c r="S73" s="143"/>
      <c r="T73" s="145"/>
      <c r="U73" s="34">
        <v>1001</v>
      </c>
      <c r="V73" s="143"/>
      <c r="W73" s="145"/>
      <c r="X73" s="35">
        <v>1009</v>
      </c>
      <c r="Y73" s="143"/>
      <c r="Z73" s="145"/>
      <c r="AA73" s="35">
        <v>929</v>
      </c>
      <c r="AB73" s="143"/>
      <c r="AC73" s="145"/>
      <c r="AD73" s="35">
        <v>861</v>
      </c>
      <c r="AE73" s="143"/>
      <c r="AF73" s="145"/>
      <c r="AG73" s="35">
        <v>755</v>
      </c>
      <c r="AH73" s="143"/>
      <c r="AI73" s="145"/>
      <c r="AJ73" s="35">
        <v>734</v>
      </c>
      <c r="AK73" s="143"/>
      <c r="AL73" s="87">
        <f t="shared" si="14"/>
        <v>12814</v>
      </c>
      <c r="AM73" s="192"/>
    </row>
    <row r="74" spans="1:40" ht="32.25" customHeight="1" x14ac:dyDescent="0.25">
      <c r="A74" s="146" t="s">
        <v>157</v>
      </c>
      <c r="B74" s="82" t="s">
        <v>158</v>
      </c>
      <c r="C74" s="42">
        <v>52</v>
      </c>
      <c r="D74" s="142">
        <f>+C74/C75</f>
        <v>10.4</v>
      </c>
      <c r="E74" s="144"/>
      <c r="F74" s="42">
        <v>115</v>
      </c>
      <c r="G74" s="142">
        <f>+F74/F75</f>
        <v>8.8461538461538467</v>
      </c>
      <c r="H74" s="144"/>
      <c r="I74" s="42">
        <f>13.2*I75</f>
        <v>105.6</v>
      </c>
      <c r="J74" s="142">
        <f>+I74/I75</f>
        <v>13.2</v>
      </c>
      <c r="K74" s="144"/>
      <c r="L74" s="42">
        <f>11*L75</f>
        <v>11</v>
      </c>
      <c r="M74" s="161">
        <f>+L74/L75</f>
        <v>11</v>
      </c>
      <c r="N74" s="144"/>
      <c r="O74" s="42">
        <f>14*O75</f>
        <v>98</v>
      </c>
      <c r="P74" s="142">
        <f>+O74/O75</f>
        <v>14</v>
      </c>
      <c r="Q74" s="144"/>
      <c r="R74" s="42">
        <f>+R75*23</f>
        <v>161</v>
      </c>
      <c r="S74" s="142">
        <f>+R74/R75</f>
        <v>23</v>
      </c>
      <c r="T74" s="144"/>
      <c r="U74" s="42">
        <f>+U75*20</f>
        <v>220</v>
      </c>
      <c r="V74" s="142">
        <f>+U74/U75</f>
        <v>20</v>
      </c>
      <c r="W74" s="144"/>
      <c r="X74" s="43">
        <v>173</v>
      </c>
      <c r="Y74" s="142">
        <f>+X74/X75</f>
        <v>86.5</v>
      </c>
      <c r="Z74" s="144"/>
      <c r="AA74" s="43">
        <v>54</v>
      </c>
      <c r="AB74" s="142">
        <f>+AA74/AA75</f>
        <v>18</v>
      </c>
      <c r="AC74" s="144"/>
      <c r="AD74" s="43">
        <v>37</v>
      </c>
      <c r="AE74" s="142">
        <f>+AD74/AD75</f>
        <v>12.333333333333334</v>
      </c>
      <c r="AF74" s="144"/>
      <c r="AG74" s="43"/>
      <c r="AH74" s="142" t="e">
        <f>+AG74/AG75</f>
        <v>#DIV/0!</v>
      </c>
      <c r="AI74" s="144"/>
      <c r="AJ74" s="43"/>
      <c r="AK74" s="142" t="e">
        <f>+AJ74/AJ75</f>
        <v>#DIV/0!</v>
      </c>
      <c r="AL74" s="88">
        <f t="shared" si="14"/>
        <v>1026.5999999999999</v>
      </c>
      <c r="AM74" s="192">
        <f t="shared" ref="AM74" si="26">+AL74/AL75</f>
        <v>17.11</v>
      </c>
    </row>
    <row r="75" spans="1:40" ht="32.25" customHeight="1" x14ac:dyDescent="0.25">
      <c r="A75" s="146"/>
      <c r="B75" s="82" t="s">
        <v>159</v>
      </c>
      <c r="C75" s="28">
        <v>5</v>
      </c>
      <c r="D75" s="143"/>
      <c r="E75" s="145"/>
      <c r="F75" s="28">
        <v>13</v>
      </c>
      <c r="G75" s="143"/>
      <c r="H75" s="145"/>
      <c r="I75" s="28">
        <v>8</v>
      </c>
      <c r="J75" s="143"/>
      <c r="K75" s="145"/>
      <c r="L75" s="28">
        <v>1</v>
      </c>
      <c r="M75" s="162"/>
      <c r="N75" s="145"/>
      <c r="O75" s="28">
        <v>7</v>
      </c>
      <c r="P75" s="143"/>
      <c r="Q75" s="145"/>
      <c r="R75" s="28">
        <v>7</v>
      </c>
      <c r="S75" s="143"/>
      <c r="T75" s="145"/>
      <c r="U75" s="28">
        <v>11</v>
      </c>
      <c r="V75" s="143"/>
      <c r="W75" s="145"/>
      <c r="X75" s="36">
        <v>2</v>
      </c>
      <c r="Y75" s="143"/>
      <c r="Z75" s="145"/>
      <c r="AA75" s="36">
        <v>3</v>
      </c>
      <c r="AB75" s="143"/>
      <c r="AC75" s="145"/>
      <c r="AD75" s="36">
        <v>3</v>
      </c>
      <c r="AE75" s="143"/>
      <c r="AF75" s="145"/>
      <c r="AG75" s="36"/>
      <c r="AH75" s="143"/>
      <c r="AI75" s="145"/>
      <c r="AJ75" s="36"/>
      <c r="AK75" s="143"/>
      <c r="AL75" s="87">
        <f t="shared" si="14"/>
        <v>60</v>
      </c>
      <c r="AM75" s="192"/>
    </row>
    <row r="76" spans="1:40" ht="32.25" customHeight="1" x14ac:dyDescent="0.25">
      <c r="A76" s="146" t="s">
        <v>160</v>
      </c>
      <c r="B76" s="82" t="s">
        <v>161</v>
      </c>
      <c r="C76" s="28">
        <v>0</v>
      </c>
      <c r="D76" s="142">
        <v>0</v>
      </c>
      <c r="E76" s="144"/>
      <c r="F76" s="28">
        <v>0</v>
      </c>
      <c r="G76" s="142">
        <v>0</v>
      </c>
      <c r="H76" s="144"/>
      <c r="I76" s="28">
        <v>0</v>
      </c>
      <c r="J76" s="142">
        <v>0</v>
      </c>
      <c r="K76" s="144"/>
      <c r="L76" s="28">
        <v>0</v>
      </c>
      <c r="M76" s="142">
        <v>0</v>
      </c>
      <c r="N76" s="144"/>
      <c r="O76" s="28">
        <v>0</v>
      </c>
      <c r="P76" s="142">
        <v>0</v>
      </c>
      <c r="Q76" s="144"/>
      <c r="R76" s="28">
        <v>0</v>
      </c>
      <c r="S76" s="142">
        <v>0</v>
      </c>
      <c r="T76" s="144"/>
      <c r="U76" s="28">
        <v>0</v>
      </c>
      <c r="V76" s="142">
        <v>0</v>
      </c>
      <c r="W76" s="144"/>
      <c r="X76" s="36">
        <v>0</v>
      </c>
      <c r="Y76" s="142">
        <v>0</v>
      </c>
      <c r="Z76" s="144"/>
      <c r="AA76" s="36">
        <v>0</v>
      </c>
      <c r="AB76" s="142">
        <v>0</v>
      </c>
      <c r="AC76" s="144"/>
      <c r="AD76" s="36">
        <v>0</v>
      </c>
      <c r="AE76" s="142">
        <v>0</v>
      </c>
      <c r="AF76" s="144"/>
      <c r="AG76" s="36">
        <v>3</v>
      </c>
      <c r="AH76" s="142">
        <f>+AG76/AG77</f>
        <v>1</v>
      </c>
      <c r="AI76" s="144"/>
      <c r="AJ76" s="36">
        <v>2</v>
      </c>
      <c r="AK76" s="142">
        <f>+AJ76/AJ77</f>
        <v>1</v>
      </c>
      <c r="AL76" s="87">
        <f t="shared" si="14"/>
        <v>5</v>
      </c>
      <c r="AM76" s="192">
        <f t="shared" ref="AM76" si="27">+AL76/AL77</f>
        <v>1</v>
      </c>
    </row>
    <row r="77" spans="1:40" ht="32.25" customHeight="1" x14ac:dyDescent="0.25">
      <c r="A77" s="146"/>
      <c r="B77" s="82" t="s">
        <v>162</v>
      </c>
      <c r="C77" s="28">
        <v>0</v>
      </c>
      <c r="D77" s="143"/>
      <c r="E77" s="145"/>
      <c r="F77" s="28">
        <v>0</v>
      </c>
      <c r="G77" s="143"/>
      <c r="H77" s="145"/>
      <c r="I77" s="28">
        <v>0</v>
      </c>
      <c r="J77" s="143"/>
      <c r="K77" s="145"/>
      <c r="L77" s="28">
        <v>0</v>
      </c>
      <c r="M77" s="143"/>
      <c r="N77" s="145"/>
      <c r="O77" s="28">
        <v>0</v>
      </c>
      <c r="P77" s="143"/>
      <c r="Q77" s="145"/>
      <c r="R77" s="28">
        <v>0</v>
      </c>
      <c r="S77" s="143"/>
      <c r="T77" s="145"/>
      <c r="U77" s="28">
        <v>0</v>
      </c>
      <c r="V77" s="143"/>
      <c r="W77" s="145"/>
      <c r="X77" s="36">
        <v>0</v>
      </c>
      <c r="Y77" s="143"/>
      <c r="Z77" s="145"/>
      <c r="AA77" s="36">
        <v>0</v>
      </c>
      <c r="AB77" s="143"/>
      <c r="AC77" s="145"/>
      <c r="AD77" s="36">
        <v>0</v>
      </c>
      <c r="AE77" s="143"/>
      <c r="AF77" s="145"/>
      <c r="AG77" s="36">
        <v>3</v>
      </c>
      <c r="AH77" s="143"/>
      <c r="AI77" s="145"/>
      <c r="AJ77" s="36">
        <v>2</v>
      </c>
      <c r="AK77" s="143"/>
      <c r="AL77" s="87">
        <f t="shared" si="14"/>
        <v>5</v>
      </c>
      <c r="AM77" s="192"/>
    </row>
    <row r="78" spans="1:40" ht="32.25" customHeight="1" x14ac:dyDescent="0.25">
      <c r="A78" s="146" t="s">
        <v>163</v>
      </c>
      <c r="B78" s="82" t="s">
        <v>164</v>
      </c>
      <c r="C78" s="28">
        <v>0</v>
      </c>
      <c r="D78" s="142">
        <v>0</v>
      </c>
      <c r="E78" s="144"/>
      <c r="F78" s="28">
        <v>0</v>
      </c>
      <c r="G78" s="142">
        <v>0</v>
      </c>
      <c r="H78" s="144"/>
      <c r="I78" s="28">
        <v>0</v>
      </c>
      <c r="J78" s="142">
        <v>0</v>
      </c>
      <c r="K78" s="144"/>
      <c r="L78" s="28">
        <v>0</v>
      </c>
      <c r="M78" s="142">
        <v>0</v>
      </c>
      <c r="N78" s="144"/>
      <c r="O78" s="28">
        <v>0</v>
      </c>
      <c r="P78" s="142">
        <v>0</v>
      </c>
      <c r="Q78" s="144"/>
      <c r="R78" s="28">
        <v>0</v>
      </c>
      <c r="S78" s="142">
        <v>0</v>
      </c>
      <c r="T78" s="144"/>
      <c r="U78" s="28">
        <v>0</v>
      </c>
      <c r="V78" s="142">
        <v>0</v>
      </c>
      <c r="W78" s="144"/>
      <c r="X78" s="36">
        <v>0</v>
      </c>
      <c r="Y78" s="142">
        <v>0</v>
      </c>
      <c r="Z78" s="144"/>
      <c r="AA78" s="36">
        <v>0</v>
      </c>
      <c r="AB78" s="142">
        <v>0</v>
      </c>
      <c r="AC78" s="144"/>
      <c r="AD78" s="36">
        <v>0</v>
      </c>
      <c r="AE78" s="142">
        <v>0</v>
      </c>
      <c r="AF78" s="144"/>
      <c r="AG78" s="36">
        <v>0</v>
      </c>
      <c r="AH78" s="142">
        <v>0</v>
      </c>
      <c r="AI78" s="144"/>
      <c r="AJ78" s="36">
        <v>0</v>
      </c>
      <c r="AK78" s="142">
        <v>0</v>
      </c>
      <c r="AL78" s="87">
        <f t="shared" si="14"/>
        <v>0</v>
      </c>
      <c r="AM78" s="192" t="e">
        <f t="shared" ref="AM78" si="28">+AL78/AL79</f>
        <v>#DIV/0!</v>
      </c>
    </row>
    <row r="79" spans="1:40" ht="32.25" customHeight="1" x14ac:dyDescent="0.25">
      <c r="A79" s="146"/>
      <c r="B79" s="82" t="s">
        <v>165</v>
      </c>
      <c r="C79" s="28">
        <v>0</v>
      </c>
      <c r="D79" s="143"/>
      <c r="E79" s="145"/>
      <c r="F79" s="28">
        <v>0</v>
      </c>
      <c r="G79" s="143"/>
      <c r="H79" s="145"/>
      <c r="I79" s="28">
        <v>0</v>
      </c>
      <c r="J79" s="143"/>
      <c r="K79" s="145"/>
      <c r="L79" s="28">
        <v>0</v>
      </c>
      <c r="M79" s="143"/>
      <c r="N79" s="145"/>
      <c r="O79" s="28">
        <v>0</v>
      </c>
      <c r="P79" s="143"/>
      <c r="Q79" s="145"/>
      <c r="R79" s="28">
        <v>0</v>
      </c>
      <c r="S79" s="143"/>
      <c r="T79" s="145"/>
      <c r="U79" s="28">
        <v>0</v>
      </c>
      <c r="V79" s="143"/>
      <c r="W79" s="145"/>
      <c r="X79" s="36">
        <v>0</v>
      </c>
      <c r="Y79" s="143"/>
      <c r="Z79" s="145"/>
      <c r="AA79" s="36">
        <v>0</v>
      </c>
      <c r="AB79" s="143"/>
      <c r="AC79" s="145"/>
      <c r="AD79" s="36">
        <v>0</v>
      </c>
      <c r="AE79" s="143"/>
      <c r="AF79" s="145"/>
      <c r="AG79" s="36">
        <v>0</v>
      </c>
      <c r="AH79" s="143"/>
      <c r="AI79" s="145"/>
      <c r="AJ79" s="36">
        <v>0</v>
      </c>
      <c r="AK79" s="143"/>
      <c r="AL79" s="87">
        <f t="shared" si="14"/>
        <v>0</v>
      </c>
      <c r="AM79" s="192"/>
    </row>
    <row r="80" spans="1:40" ht="32.25" customHeight="1" x14ac:dyDescent="0.25">
      <c r="A80" s="146" t="s">
        <v>166</v>
      </c>
      <c r="B80" s="82" t="s">
        <v>167</v>
      </c>
      <c r="C80" s="34">
        <v>605</v>
      </c>
      <c r="D80" s="142">
        <f>+C80/C81</f>
        <v>0.97580645161290325</v>
      </c>
      <c r="E80" s="144"/>
      <c r="F80" s="34">
        <v>236</v>
      </c>
      <c r="G80" s="142">
        <f>+F80/F81</f>
        <v>0.95161290322580649</v>
      </c>
      <c r="H80" s="144"/>
      <c r="I80" s="34">
        <v>428</v>
      </c>
      <c r="J80" s="142">
        <f>+I80/I81</f>
        <v>0.97716894977168944</v>
      </c>
      <c r="K80" s="144"/>
      <c r="L80" s="34">
        <v>237</v>
      </c>
      <c r="M80" s="142">
        <f>+L80/L81</f>
        <v>0.93675889328063244</v>
      </c>
      <c r="N80" s="144"/>
      <c r="O80" s="34">
        <f>172+42+12+15</f>
        <v>241</v>
      </c>
      <c r="P80" s="142">
        <f>+O80/O81</f>
        <v>0.74613003095975228</v>
      </c>
      <c r="Q80" s="144"/>
      <c r="R80" s="34">
        <f>69+84+37</f>
        <v>190</v>
      </c>
      <c r="S80" s="142">
        <f>+R80/R81</f>
        <v>0.81196581196581197</v>
      </c>
      <c r="T80" s="144"/>
      <c r="U80" s="34">
        <f>171+311+89+177</f>
        <v>748</v>
      </c>
      <c r="V80" s="142">
        <f>+U80/U81</f>
        <v>0.85388127853881279</v>
      </c>
      <c r="W80" s="144"/>
      <c r="X80" s="35">
        <f>178+104+147+165</f>
        <v>594</v>
      </c>
      <c r="Y80" s="142">
        <f>+X80/X81</f>
        <v>0.90825688073394495</v>
      </c>
      <c r="Z80" s="144"/>
      <c r="AA80" s="35">
        <f>180+5+61</f>
        <v>246</v>
      </c>
      <c r="AB80" s="142">
        <f>+AA80/AA81</f>
        <v>0.83389830508474572</v>
      </c>
      <c r="AC80" s="144"/>
      <c r="AD80" s="35">
        <f>28+115+232+33</f>
        <v>408</v>
      </c>
      <c r="AE80" s="142">
        <f>+AD80/AD81</f>
        <v>0.88695652173913042</v>
      </c>
      <c r="AF80" s="144"/>
      <c r="AG80" s="35">
        <f>6+43+35+43</f>
        <v>127</v>
      </c>
      <c r="AH80" s="142">
        <f>+AG80/AG81</f>
        <v>0.8141025641025641</v>
      </c>
      <c r="AI80" s="144"/>
      <c r="AJ80" s="35"/>
      <c r="AK80" s="142" t="e">
        <f>+AJ80/AJ81</f>
        <v>#DIV/0!</v>
      </c>
      <c r="AL80" s="87">
        <f t="shared" si="14"/>
        <v>4060</v>
      </c>
      <c r="AM80" s="192">
        <f t="shared" ref="AM80" si="29">+AL80/AL81</f>
        <v>0.89093701996927799</v>
      </c>
      <c r="AN80">
        <f>+AM80*100</f>
        <v>89.093701996927805</v>
      </c>
    </row>
    <row r="81" spans="1:40" ht="32.25" customHeight="1" x14ac:dyDescent="0.25">
      <c r="A81" s="146"/>
      <c r="B81" s="82" t="s">
        <v>168</v>
      </c>
      <c r="C81" s="34">
        <v>620</v>
      </c>
      <c r="D81" s="143"/>
      <c r="E81" s="145"/>
      <c r="F81" s="34">
        <v>248</v>
      </c>
      <c r="G81" s="143"/>
      <c r="H81" s="145"/>
      <c r="I81" s="34">
        <v>438</v>
      </c>
      <c r="J81" s="143"/>
      <c r="K81" s="145"/>
      <c r="L81" s="34">
        <v>253</v>
      </c>
      <c r="M81" s="143"/>
      <c r="N81" s="145"/>
      <c r="O81" s="34">
        <f>222+62+18+21</f>
        <v>323</v>
      </c>
      <c r="P81" s="143"/>
      <c r="Q81" s="145"/>
      <c r="R81" s="34">
        <f>75+108+51</f>
        <v>234</v>
      </c>
      <c r="S81" s="143"/>
      <c r="T81" s="145"/>
      <c r="U81" s="34">
        <f>217+378+92+189</f>
        <v>876</v>
      </c>
      <c r="V81" s="143"/>
      <c r="W81" s="145"/>
      <c r="X81" s="35">
        <f>182+118+177+177</f>
        <v>654</v>
      </c>
      <c r="Y81" s="143"/>
      <c r="Z81" s="145"/>
      <c r="AA81" s="35">
        <f>204+5+86</f>
        <v>295</v>
      </c>
      <c r="AB81" s="143"/>
      <c r="AC81" s="145"/>
      <c r="AD81" s="35">
        <f>34+134+254+38</f>
        <v>460</v>
      </c>
      <c r="AE81" s="143"/>
      <c r="AF81" s="145"/>
      <c r="AG81" s="35">
        <f>9+50+47+50</f>
        <v>156</v>
      </c>
      <c r="AH81" s="143"/>
      <c r="AI81" s="145"/>
      <c r="AJ81" s="35"/>
      <c r="AK81" s="143"/>
      <c r="AL81" s="87">
        <f t="shared" si="14"/>
        <v>4557</v>
      </c>
      <c r="AM81" s="192"/>
    </row>
    <row r="82" spans="1:40" ht="32.25" customHeight="1" x14ac:dyDescent="0.25">
      <c r="A82" s="146" t="s">
        <v>169</v>
      </c>
      <c r="B82" s="82" t="s">
        <v>170</v>
      </c>
      <c r="C82" s="34">
        <v>605</v>
      </c>
      <c r="D82" s="142">
        <f>+C82/C83</f>
        <v>0.97580645161290325</v>
      </c>
      <c r="E82" s="144"/>
      <c r="F82" s="34">
        <v>236</v>
      </c>
      <c r="G82" s="142">
        <f>+F82/F83</f>
        <v>0.95161290322580649</v>
      </c>
      <c r="H82" s="144"/>
      <c r="I82" s="34">
        <v>428</v>
      </c>
      <c r="J82" s="142">
        <f>+I82/I83</f>
        <v>0.97716894977168944</v>
      </c>
      <c r="K82" s="144"/>
      <c r="L82" s="34">
        <v>237</v>
      </c>
      <c r="M82" s="142">
        <f>+L82/L83</f>
        <v>0.93675889328063244</v>
      </c>
      <c r="N82" s="144"/>
      <c r="O82" s="34">
        <f>172+42+12+15</f>
        <v>241</v>
      </c>
      <c r="P82" s="142">
        <f>+O82/O83</f>
        <v>0.74613003095975228</v>
      </c>
      <c r="Q82" s="144"/>
      <c r="R82" s="34">
        <f>70+87+38</f>
        <v>195</v>
      </c>
      <c r="S82" s="142">
        <f>+R82/R83</f>
        <v>0.83333333333333337</v>
      </c>
      <c r="T82" s="144"/>
      <c r="U82" s="34">
        <f>173+318+89+180</f>
        <v>760</v>
      </c>
      <c r="V82" s="142">
        <f>+U82/U83</f>
        <v>0.86757990867579904</v>
      </c>
      <c r="W82" s="144"/>
      <c r="X82" s="35">
        <f>179+107+140+171</f>
        <v>597</v>
      </c>
      <c r="Y82" s="142">
        <f>+X82/X83</f>
        <v>0.91284403669724767</v>
      </c>
      <c r="Z82" s="144"/>
      <c r="AA82" s="35">
        <f>180+5+61</f>
        <v>246</v>
      </c>
      <c r="AB82" s="142">
        <f>+AA82/AA83</f>
        <v>0.83389830508474572</v>
      </c>
      <c r="AC82" s="144"/>
      <c r="AD82" s="35">
        <f>28+115+232+33</f>
        <v>408</v>
      </c>
      <c r="AE82" s="142">
        <f>+AD82/AD83</f>
        <v>0.88695652173913042</v>
      </c>
      <c r="AF82" s="144"/>
      <c r="AG82" s="35">
        <f>6+43+35+43</f>
        <v>127</v>
      </c>
      <c r="AH82" s="142">
        <f>+AG82/AG83</f>
        <v>0.8141025641025641</v>
      </c>
      <c r="AI82" s="144"/>
      <c r="AJ82" s="35"/>
      <c r="AK82" s="142" t="e">
        <f>+AJ82/AJ83</f>
        <v>#DIV/0!</v>
      </c>
      <c r="AL82" s="87">
        <f t="shared" si="14"/>
        <v>4080</v>
      </c>
      <c r="AM82" s="192">
        <f t="shared" ref="AM82" si="30">+AL82/AL83</f>
        <v>0.89532587228439764</v>
      </c>
      <c r="AN82">
        <f>+AM82*100</f>
        <v>89.532587228439766</v>
      </c>
    </row>
    <row r="83" spans="1:40" ht="32.25" customHeight="1" x14ac:dyDescent="0.25">
      <c r="A83" s="146"/>
      <c r="B83" s="82" t="s">
        <v>168</v>
      </c>
      <c r="C83" s="34">
        <v>620</v>
      </c>
      <c r="D83" s="143"/>
      <c r="E83" s="145"/>
      <c r="F83" s="34">
        <v>248</v>
      </c>
      <c r="G83" s="143"/>
      <c r="H83" s="145"/>
      <c r="I83" s="34">
        <v>438</v>
      </c>
      <c r="J83" s="143"/>
      <c r="K83" s="145"/>
      <c r="L83" s="34">
        <v>253</v>
      </c>
      <c r="M83" s="143"/>
      <c r="N83" s="145"/>
      <c r="O83" s="34">
        <f>222+62+18+21</f>
        <v>323</v>
      </c>
      <c r="P83" s="143"/>
      <c r="Q83" s="145"/>
      <c r="R83" s="34">
        <f>75+108+51</f>
        <v>234</v>
      </c>
      <c r="S83" s="143"/>
      <c r="T83" s="145"/>
      <c r="U83" s="34">
        <f>217+378+92+189</f>
        <v>876</v>
      </c>
      <c r="V83" s="143"/>
      <c r="W83" s="145"/>
      <c r="X83" s="35">
        <f>182+118+177+177</f>
        <v>654</v>
      </c>
      <c r="Y83" s="143"/>
      <c r="Z83" s="145"/>
      <c r="AA83" s="35">
        <f>204+5+86</f>
        <v>295</v>
      </c>
      <c r="AB83" s="143"/>
      <c r="AC83" s="145"/>
      <c r="AD83" s="35">
        <f>34+134+254+38</f>
        <v>460</v>
      </c>
      <c r="AE83" s="143"/>
      <c r="AF83" s="145"/>
      <c r="AG83" s="35">
        <f>9+50+47+50</f>
        <v>156</v>
      </c>
      <c r="AH83" s="143"/>
      <c r="AI83" s="145"/>
      <c r="AJ83" s="35"/>
      <c r="AK83" s="143"/>
      <c r="AL83" s="87">
        <f t="shared" si="14"/>
        <v>4557</v>
      </c>
      <c r="AM83" s="192"/>
    </row>
  </sheetData>
  <mergeCells count="1026">
    <mergeCell ref="A1:B1"/>
    <mergeCell ref="AI2:AI3"/>
    <mergeCell ref="AK2:AK3"/>
    <mergeCell ref="A4:A5"/>
    <mergeCell ref="Z2:Z3"/>
    <mergeCell ref="AB2:AB3"/>
    <mergeCell ref="AC2:AC3"/>
    <mergeCell ref="AE2:AE3"/>
    <mergeCell ref="AF2:AF3"/>
    <mergeCell ref="AH2:AH3"/>
    <mergeCell ref="Q2:Q3"/>
    <mergeCell ref="S2:S3"/>
    <mergeCell ref="T2:T3"/>
    <mergeCell ref="V2:V3"/>
    <mergeCell ref="W2:W3"/>
    <mergeCell ref="Y2:Y3"/>
    <mergeCell ref="H2:H3"/>
    <mergeCell ref="J2:J3"/>
    <mergeCell ref="K2:K3"/>
    <mergeCell ref="M2:M3"/>
    <mergeCell ref="N2:N3"/>
    <mergeCell ref="P2:P3"/>
    <mergeCell ref="D2:D3"/>
    <mergeCell ref="E2:E3"/>
    <mergeCell ref="G2:G3"/>
    <mergeCell ref="A2:A3"/>
    <mergeCell ref="AE4:AE5"/>
    <mergeCell ref="AF4:AF5"/>
    <mergeCell ref="AH4:AH5"/>
    <mergeCell ref="AI4:AI5"/>
    <mergeCell ref="AK4:AK5"/>
    <mergeCell ref="V4:V5"/>
    <mergeCell ref="W4:W5"/>
    <mergeCell ref="Y4:Y5"/>
    <mergeCell ref="Z4:Z5"/>
    <mergeCell ref="AB4:AB5"/>
    <mergeCell ref="AC4:AC5"/>
    <mergeCell ref="M4:M5"/>
    <mergeCell ref="N4:N5"/>
    <mergeCell ref="P4:P5"/>
    <mergeCell ref="Q4:Q5"/>
    <mergeCell ref="S4:S5"/>
    <mergeCell ref="T4:T5"/>
    <mergeCell ref="D4:D5"/>
    <mergeCell ref="E4:E5"/>
    <mergeCell ref="G4:G5"/>
    <mergeCell ref="H4:H5"/>
    <mergeCell ref="J4:J5"/>
    <mergeCell ref="K4:K5"/>
    <mergeCell ref="AI6:AI7"/>
    <mergeCell ref="AK6:AK7"/>
    <mergeCell ref="A8:A9"/>
    <mergeCell ref="Z6:Z7"/>
    <mergeCell ref="AB6:AB7"/>
    <mergeCell ref="AC6:AC7"/>
    <mergeCell ref="AE6:AE7"/>
    <mergeCell ref="AF6:AF7"/>
    <mergeCell ref="AH6:AH7"/>
    <mergeCell ref="Q6:Q7"/>
    <mergeCell ref="S6:S7"/>
    <mergeCell ref="T6:T7"/>
    <mergeCell ref="V6:V7"/>
    <mergeCell ref="W6:W7"/>
    <mergeCell ref="Y6:Y7"/>
    <mergeCell ref="H6:H7"/>
    <mergeCell ref="J6:J7"/>
    <mergeCell ref="K6:K7"/>
    <mergeCell ref="M6:M7"/>
    <mergeCell ref="N6:N7"/>
    <mergeCell ref="P6:P7"/>
    <mergeCell ref="D6:D7"/>
    <mergeCell ref="E6:E7"/>
    <mergeCell ref="G6:G7"/>
    <mergeCell ref="AE8:AE9"/>
    <mergeCell ref="AF8:AF9"/>
    <mergeCell ref="AH8:AH9"/>
    <mergeCell ref="AI8:AI9"/>
    <mergeCell ref="AK8:AK9"/>
    <mergeCell ref="A6:A7"/>
    <mergeCell ref="V8:V9"/>
    <mergeCell ref="W8:W9"/>
    <mergeCell ref="Y8:Y9"/>
    <mergeCell ref="Z8:Z9"/>
    <mergeCell ref="AB8:AB9"/>
    <mergeCell ref="AC8:AC9"/>
    <mergeCell ref="M8:M9"/>
    <mergeCell ref="N8:N9"/>
    <mergeCell ref="P8:P9"/>
    <mergeCell ref="Q8:Q9"/>
    <mergeCell ref="S8:S9"/>
    <mergeCell ref="T8:T9"/>
    <mergeCell ref="D8:D9"/>
    <mergeCell ref="E8:E9"/>
    <mergeCell ref="G8:G9"/>
    <mergeCell ref="H8:H9"/>
    <mergeCell ref="J8:J9"/>
    <mergeCell ref="K8:K9"/>
    <mergeCell ref="AI10:AI11"/>
    <mergeCell ref="AI14:AI15"/>
    <mergeCell ref="AK14:AK15"/>
    <mergeCell ref="AK10:AK11"/>
    <mergeCell ref="A12:A13"/>
    <mergeCell ref="Z10:Z11"/>
    <mergeCell ref="AB10:AB11"/>
    <mergeCell ref="AC10:AC11"/>
    <mergeCell ref="AE10:AE11"/>
    <mergeCell ref="AF10:AF11"/>
    <mergeCell ref="AH10:AH11"/>
    <mergeCell ref="Q10:Q11"/>
    <mergeCell ref="S10:S11"/>
    <mergeCell ref="T10:T11"/>
    <mergeCell ref="V10:V11"/>
    <mergeCell ref="W10:W11"/>
    <mergeCell ref="Y10:Y11"/>
    <mergeCell ref="H10:H11"/>
    <mergeCell ref="J10:J11"/>
    <mergeCell ref="K10:K11"/>
    <mergeCell ref="M10:M11"/>
    <mergeCell ref="N10:N11"/>
    <mergeCell ref="P10:P11"/>
    <mergeCell ref="D10:D11"/>
    <mergeCell ref="E10:E11"/>
    <mergeCell ref="G10:G11"/>
    <mergeCell ref="AE12:AE13"/>
    <mergeCell ref="AF12:AF13"/>
    <mergeCell ref="AH12:AH13"/>
    <mergeCell ref="AI12:AI13"/>
    <mergeCell ref="AK12:AK13"/>
    <mergeCell ref="A10:A11"/>
    <mergeCell ref="V12:V13"/>
    <mergeCell ref="V14:V15"/>
    <mergeCell ref="W14:W15"/>
    <mergeCell ref="Y14:Y15"/>
    <mergeCell ref="H14:H15"/>
    <mergeCell ref="J14:J15"/>
    <mergeCell ref="K14:K15"/>
    <mergeCell ref="M14:M15"/>
    <mergeCell ref="N14:N15"/>
    <mergeCell ref="P14:P15"/>
    <mergeCell ref="D14:D15"/>
    <mergeCell ref="E14:E15"/>
    <mergeCell ref="G14:G15"/>
    <mergeCell ref="AE16:AE17"/>
    <mergeCell ref="AF16:AF17"/>
    <mergeCell ref="AH16:AH17"/>
    <mergeCell ref="Z12:Z13"/>
    <mergeCell ref="AB12:AB13"/>
    <mergeCell ref="AC12:AC13"/>
    <mergeCell ref="M12:M13"/>
    <mergeCell ref="N12:N13"/>
    <mergeCell ref="P12:P13"/>
    <mergeCell ref="Q12:Q13"/>
    <mergeCell ref="S12:S13"/>
    <mergeCell ref="T12:T13"/>
    <mergeCell ref="D12:D13"/>
    <mergeCell ref="E12:E13"/>
    <mergeCell ref="G12:G13"/>
    <mergeCell ref="H12:H13"/>
    <mergeCell ref="J12:J13"/>
    <mergeCell ref="K12:K13"/>
    <mergeCell ref="W12:W13"/>
    <mergeCell ref="Y12:Y13"/>
    <mergeCell ref="AI16:AI17"/>
    <mergeCell ref="AK16:AK17"/>
    <mergeCell ref="A14:A15"/>
    <mergeCell ref="A18:A19"/>
    <mergeCell ref="V16:V17"/>
    <mergeCell ref="W16:W17"/>
    <mergeCell ref="Y16:Y17"/>
    <mergeCell ref="Z16:Z17"/>
    <mergeCell ref="AB16:AB17"/>
    <mergeCell ref="AC16:AC17"/>
    <mergeCell ref="M16:M17"/>
    <mergeCell ref="N16:N17"/>
    <mergeCell ref="P16:P17"/>
    <mergeCell ref="Q16:Q17"/>
    <mergeCell ref="S16:S17"/>
    <mergeCell ref="T16:T17"/>
    <mergeCell ref="D16:D17"/>
    <mergeCell ref="E16:E17"/>
    <mergeCell ref="G16:G17"/>
    <mergeCell ref="H16:H17"/>
    <mergeCell ref="J16:J17"/>
    <mergeCell ref="K16:K17"/>
    <mergeCell ref="A16:A17"/>
    <mergeCell ref="Z14:Z15"/>
    <mergeCell ref="AB14:AB15"/>
    <mergeCell ref="AC14:AC15"/>
    <mergeCell ref="AE14:AE15"/>
    <mergeCell ref="AF14:AF15"/>
    <mergeCell ref="AH14:AH15"/>
    <mergeCell ref="Q14:Q15"/>
    <mergeCell ref="S14:S15"/>
    <mergeCell ref="T14:T15"/>
    <mergeCell ref="D20:D21"/>
    <mergeCell ref="E20:E21"/>
    <mergeCell ref="G20:G21"/>
    <mergeCell ref="A20:A21"/>
    <mergeCell ref="AI18:AI19"/>
    <mergeCell ref="AK18:AK19"/>
    <mergeCell ref="Z18:Z19"/>
    <mergeCell ref="AB18:AB19"/>
    <mergeCell ref="AC18:AC19"/>
    <mergeCell ref="AE18:AE19"/>
    <mergeCell ref="AF18:AF19"/>
    <mergeCell ref="AH18:AH19"/>
    <mergeCell ref="Q18:Q19"/>
    <mergeCell ref="S18:S19"/>
    <mergeCell ref="T18:T19"/>
    <mergeCell ref="V18:V19"/>
    <mergeCell ref="W18:W19"/>
    <mergeCell ref="Y18:Y19"/>
    <mergeCell ref="H18:H19"/>
    <mergeCell ref="J18:J19"/>
    <mergeCell ref="K18:K19"/>
    <mergeCell ref="M18:M19"/>
    <mergeCell ref="N18:N19"/>
    <mergeCell ref="P18:P19"/>
    <mergeCell ref="D18:D19"/>
    <mergeCell ref="E18:E19"/>
    <mergeCell ref="G18:G19"/>
    <mergeCell ref="AI20:AI21"/>
    <mergeCell ref="AK20:AK21"/>
    <mergeCell ref="Z20:Z21"/>
    <mergeCell ref="AB20:AB21"/>
    <mergeCell ref="AC20:AC21"/>
    <mergeCell ref="W24:W25"/>
    <mergeCell ref="AE20:AE21"/>
    <mergeCell ref="AF20:AF21"/>
    <mergeCell ref="AH20:AH21"/>
    <mergeCell ref="Q20:Q21"/>
    <mergeCell ref="S20:S21"/>
    <mergeCell ref="T20:T21"/>
    <mergeCell ref="V20:V21"/>
    <mergeCell ref="W20:W21"/>
    <mergeCell ref="Y20:Y21"/>
    <mergeCell ref="H20:H21"/>
    <mergeCell ref="J20:J21"/>
    <mergeCell ref="K20:K21"/>
    <mergeCell ref="M20:M21"/>
    <mergeCell ref="N20:N21"/>
    <mergeCell ref="P20:P21"/>
    <mergeCell ref="D24:D25"/>
    <mergeCell ref="E24:E25"/>
    <mergeCell ref="G24:G25"/>
    <mergeCell ref="H24:H25"/>
    <mergeCell ref="J24:J25"/>
    <mergeCell ref="K24:K25"/>
    <mergeCell ref="Y24:Y25"/>
    <mergeCell ref="Z24:Z25"/>
    <mergeCell ref="AB24:AB25"/>
    <mergeCell ref="AC24:AC25"/>
    <mergeCell ref="M24:M25"/>
    <mergeCell ref="N24:N25"/>
    <mergeCell ref="P24:P25"/>
    <mergeCell ref="Q24:Q25"/>
    <mergeCell ref="S24:S25"/>
    <mergeCell ref="T24:T25"/>
    <mergeCell ref="AK28:AK29"/>
    <mergeCell ref="AI22:AI23"/>
    <mergeCell ref="AK22:AK23"/>
    <mergeCell ref="A24:A25"/>
    <mergeCell ref="Z22:Z23"/>
    <mergeCell ref="AB22:AB23"/>
    <mergeCell ref="AC22:AC23"/>
    <mergeCell ref="AE22:AE23"/>
    <mergeCell ref="AF22:AF23"/>
    <mergeCell ref="AH22:AH23"/>
    <mergeCell ref="Q22:Q23"/>
    <mergeCell ref="S22:S23"/>
    <mergeCell ref="T22:T23"/>
    <mergeCell ref="V22:V23"/>
    <mergeCell ref="W22:W23"/>
    <mergeCell ref="Y22:Y23"/>
    <mergeCell ref="H22:H23"/>
    <mergeCell ref="J22:J23"/>
    <mergeCell ref="K22:K23"/>
    <mergeCell ref="M22:M23"/>
    <mergeCell ref="N22:N23"/>
    <mergeCell ref="P22:P23"/>
    <mergeCell ref="D22:D23"/>
    <mergeCell ref="E22:E23"/>
    <mergeCell ref="G22:G23"/>
    <mergeCell ref="A22:A23"/>
    <mergeCell ref="AE24:AE25"/>
    <mergeCell ref="AF24:AF25"/>
    <mergeCell ref="AH24:AH25"/>
    <mergeCell ref="AI24:AI25"/>
    <mergeCell ref="AK24:AK25"/>
    <mergeCell ref="V24:V25"/>
    <mergeCell ref="D28:D29"/>
    <mergeCell ref="E28:E29"/>
    <mergeCell ref="G28:G29"/>
    <mergeCell ref="AE30:AE31"/>
    <mergeCell ref="AF30:AF31"/>
    <mergeCell ref="AH30:AH31"/>
    <mergeCell ref="AE26:AE27"/>
    <mergeCell ref="AF26:AF27"/>
    <mergeCell ref="AH26:AH27"/>
    <mergeCell ref="AI26:AI27"/>
    <mergeCell ref="AK26:AK27"/>
    <mergeCell ref="A28:A29"/>
    <mergeCell ref="V26:V27"/>
    <mergeCell ref="W26:W27"/>
    <mergeCell ref="Y26:Y27"/>
    <mergeCell ref="Z26:Z27"/>
    <mergeCell ref="AB26:AB27"/>
    <mergeCell ref="AC26:AC27"/>
    <mergeCell ref="M26:M27"/>
    <mergeCell ref="N26:N27"/>
    <mergeCell ref="P26:P27"/>
    <mergeCell ref="Q26:Q27"/>
    <mergeCell ref="S26:S27"/>
    <mergeCell ref="T26:T27"/>
    <mergeCell ref="D26:D27"/>
    <mergeCell ref="E26:E27"/>
    <mergeCell ref="G26:G27"/>
    <mergeCell ref="H26:H27"/>
    <mergeCell ref="J26:J27"/>
    <mergeCell ref="K26:K27"/>
    <mergeCell ref="A26:A27"/>
    <mergeCell ref="AI28:AI29"/>
    <mergeCell ref="Z28:Z29"/>
    <mergeCell ref="AB28:AB29"/>
    <mergeCell ref="AC28:AC29"/>
    <mergeCell ref="AE28:AE29"/>
    <mergeCell ref="AF28:AF29"/>
    <mergeCell ref="AH28:AH29"/>
    <mergeCell ref="Q28:Q29"/>
    <mergeCell ref="S28:S29"/>
    <mergeCell ref="T28:T29"/>
    <mergeCell ref="V28:V29"/>
    <mergeCell ref="W28:W29"/>
    <mergeCell ref="Y28:Y29"/>
    <mergeCell ref="H28:H29"/>
    <mergeCell ref="J28:J29"/>
    <mergeCell ref="K28:K29"/>
    <mergeCell ref="M28:M29"/>
    <mergeCell ref="N28:N29"/>
    <mergeCell ref="P28:P29"/>
    <mergeCell ref="D32:D33"/>
    <mergeCell ref="E32:E33"/>
    <mergeCell ref="G32:G33"/>
    <mergeCell ref="AE34:AE35"/>
    <mergeCell ref="AF34:AF35"/>
    <mergeCell ref="AH34:AH35"/>
    <mergeCell ref="AI30:AI31"/>
    <mergeCell ref="AK30:AK31"/>
    <mergeCell ref="A32:A33"/>
    <mergeCell ref="V30:V31"/>
    <mergeCell ref="W30:W31"/>
    <mergeCell ref="Y30:Y31"/>
    <mergeCell ref="Z30:Z31"/>
    <mergeCell ref="AB30:AB31"/>
    <mergeCell ref="AC30:AC31"/>
    <mergeCell ref="M30:M31"/>
    <mergeCell ref="N30:N31"/>
    <mergeCell ref="P30:P31"/>
    <mergeCell ref="Q30:Q31"/>
    <mergeCell ref="S30:S31"/>
    <mergeCell ref="T30:T31"/>
    <mergeCell ref="D30:D31"/>
    <mergeCell ref="E30:E31"/>
    <mergeCell ref="G30:G31"/>
    <mergeCell ref="H30:H31"/>
    <mergeCell ref="J30:J31"/>
    <mergeCell ref="K30:K31"/>
    <mergeCell ref="AI32:AI33"/>
    <mergeCell ref="AK32:AK33"/>
    <mergeCell ref="A30:A31"/>
    <mergeCell ref="Z32:Z33"/>
    <mergeCell ref="AB32:AB33"/>
    <mergeCell ref="AC32:AC33"/>
    <mergeCell ref="AE32:AE33"/>
    <mergeCell ref="AF32:AF33"/>
    <mergeCell ref="AH32:AH33"/>
    <mergeCell ref="Q32:Q33"/>
    <mergeCell ref="S32:S33"/>
    <mergeCell ref="T32:T33"/>
    <mergeCell ref="V32:V33"/>
    <mergeCell ref="W32:W33"/>
    <mergeCell ref="Y32:Y33"/>
    <mergeCell ref="H32:H33"/>
    <mergeCell ref="J32:J33"/>
    <mergeCell ref="K32:K33"/>
    <mergeCell ref="M32:M33"/>
    <mergeCell ref="N32:N33"/>
    <mergeCell ref="P32:P33"/>
    <mergeCell ref="D36:D37"/>
    <mergeCell ref="E36:E37"/>
    <mergeCell ref="G36:G37"/>
    <mergeCell ref="AH36:AH37"/>
    <mergeCell ref="Q36:Q37"/>
    <mergeCell ref="S36:S37"/>
    <mergeCell ref="T36:T37"/>
    <mergeCell ref="V36:V37"/>
    <mergeCell ref="W36:W37"/>
    <mergeCell ref="Y36:Y37"/>
    <mergeCell ref="H36:H37"/>
    <mergeCell ref="J36:J37"/>
    <mergeCell ref="K36:K37"/>
    <mergeCell ref="M36:M37"/>
    <mergeCell ref="N36:N37"/>
    <mergeCell ref="P36:P37"/>
    <mergeCell ref="AE38:AE39"/>
    <mergeCell ref="AF38:AF39"/>
    <mergeCell ref="AH38:AH39"/>
    <mergeCell ref="AI34:AI35"/>
    <mergeCell ref="AK34:AK35"/>
    <mergeCell ref="A36:A37"/>
    <mergeCell ref="V34:V35"/>
    <mergeCell ref="W34:W35"/>
    <mergeCell ref="Y34:Y35"/>
    <mergeCell ref="Z34:Z35"/>
    <mergeCell ref="AB34:AB35"/>
    <mergeCell ref="AC34:AC35"/>
    <mergeCell ref="M34:M35"/>
    <mergeCell ref="N34:N35"/>
    <mergeCell ref="P34:P35"/>
    <mergeCell ref="Q34:Q35"/>
    <mergeCell ref="S34:S35"/>
    <mergeCell ref="T34:T35"/>
    <mergeCell ref="D34:D35"/>
    <mergeCell ref="E34:E35"/>
    <mergeCell ref="G34:G35"/>
    <mergeCell ref="H34:H35"/>
    <mergeCell ref="J34:J35"/>
    <mergeCell ref="K34:K35"/>
    <mergeCell ref="AI36:AI37"/>
    <mergeCell ref="AK36:AK37"/>
    <mergeCell ref="A34:A35"/>
    <mergeCell ref="Z36:Z37"/>
    <mergeCell ref="AB36:AB37"/>
    <mergeCell ref="AC36:AC37"/>
    <mergeCell ref="AE36:AE37"/>
    <mergeCell ref="AF36:AF37"/>
    <mergeCell ref="D40:D41"/>
    <mergeCell ref="E40:E41"/>
    <mergeCell ref="G40:G41"/>
    <mergeCell ref="AE42:AE43"/>
    <mergeCell ref="AF42:AF43"/>
    <mergeCell ref="AH42:AH43"/>
    <mergeCell ref="AI38:AI39"/>
    <mergeCell ref="AK38:AK39"/>
    <mergeCell ref="A40:A41"/>
    <mergeCell ref="V38:V39"/>
    <mergeCell ref="W38:W39"/>
    <mergeCell ref="Y38:Y39"/>
    <mergeCell ref="Z38:Z39"/>
    <mergeCell ref="AB38:AB39"/>
    <mergeCell ref="AC38:AC39"/>
    <mergeCell ref="M38:M39"/>
    <mergeCell ref="N38:N39"/>
    <mergeCell ref="P38:P39"/>
    <mergeCell ref="Q38:Q39"/>
    <mergeCell ref="S38:S39"/>
    <mergeCell ref="T38:T39"/>
    <mergeCell ref="D38:D39"/>
    <mergeCell ref="E38:E39"/>
    <mergeCell ref="G38:G39"/>
    <mergeCell ref="H38:H39"/>
    <mergeCell ref="J38:J39"/>
    <mergeCell ref="K38:K39"/>
    <mergeCell ref="AI40:AI41"/>
    <mergeCell ref="AK40:AK41"/>
    <mergeCell ref="A38:A39"/>
    <mergeCell ref="Z40:Z41"/>
    <mergeCell ref="AB40:AB41"/>
    <mergeCell ref="AC40:AC41"/>
    <mergeCell ref="AE40:AE41"/>
    <mergeCell ref="AF40:AF41"/>
    <mergeCell ref="AH40:AH41"/>
    <mergeCell ref="Q40:Q41"/>
    <mergeCell ref="S40:S41"/>
    <mergeCell ref="T40:T41"/>
    <mergeCell ref="V40:V41"/>
    <mergeCell ref="W40:W41"/>
    <mergeCell ref="Y40:Y41"/>
    <mergeCell ref="H40:H41"/>
    <mergeCell ref="J40:J41"/>
    <mergeCell ref="K40:K41"/>
    <mergeCell ref="M40:M41"/>
    <mergeCell ref="N40:N41"/>
    <mergeCell ref="P40:P41"/>
    <mergeCell ref="D44:D45"/>
    <mergeCell ref="E44:E45"/>
    <mergeCell ref="G44:G45"/>
    <mergeCell ref="AH44:AH45"/>
    <mergeCell ref="Q44:Q45"/>
    <mergeCell ref="S44:S45"/>
    <mergeCell ref="T44:T45"/>
    <mergeCell ref="V44:V45"/>
    <mergeCell ref="W44:W45"/>
    <mergeCell ref="Y44:Y45"/>
    <mergeCell ref="H44:H45"/>
    <mergeCell ref="J44:J45"/>
    <mergeCell ref="K44:K45"/>
    <mergeCell ref="M44:M45"/>
    <mergeCell ref="N44:N45"/>
    <mergeCell ref="P44:P45"/>
    <mergeCell ref="AE46:AE47"/>
    <mergeCell ref="AF46:AF47"/>
    <mergeCell ref="AH46:AH47"/>
    <mergeCell ref="AI42:AI43"/>
    <mergeCell ref="AK42:AK43"/>
    <mergeCell ref="A44:A45"/>
    <mergeCell ref="V42:V43"/>
    <mergeCell ref="W42:W43"/>
    <mergeCell ref="Y42:Y43"/>
    <mergeCell ref="Z42:Z43"/>
    <mergeCell ref="AB42:AB43"/>
    <mergeCell ref="AC42:AC43"/>
    <mergeCell ref="M42:M43"/>
    <mergeCell ref="N42:N43"/>
    <mergeCell ref="P42:P43"/>
    <mergeCell ref="Q42:Q43"/>
    <mergeCell ref="S42:S43"/>
    <mergeCell ref="T42:T43"/>
    <mergeCell ref="D42:D43"/>
    <mergeCell ref="E42:E43"/>
    <mergeCell ref="G42:G43"/>
    <mergeCell ref="H42:H43"/>
    <mergeCell ref="J42:J43"/>
    <mergeCell ref="K42:K43"/>
    <mergeCell ref="AI44:AI45"/>
    <mergeCell ref="AK44:AK45"/>
    <mergeCell ref="A42:A43"/>
    <mergeCell ref="Z44:Z45"/>
    <mergeCell ref="AB44:AB45"/>
    <mergeCell ref="AC44:AC45"/>
    <mergeCell ref="AE44:AE45"/>
    <mergeCell ref="AF44:AF45"/>
    <mergeCell ref="D48:D49"/>
    <mergeCell ref="E48:E49"/>
    <mergeCell ref="G48:G49"/>
    <mergeCell ref="AE50:AE51"/>
    <mergeCell ref="AF50:AF51"/>
    <mergeCell ref="AH50:AH51"/>
    <mergeCell ref="AI46:AI47"/>
    <mergeCell ref="AK46:AK47"/>
    <mergeCell ref="A48:A49"/>
    <mergeCell ref="V46:V47"/>
    <mergeCell ref="W46:W47"/>
    <mergeCell ref="Y46:Y47"/>
    <mergeCell ref="Z46:Z47"/>
    <mergeCell ref="AB46:AB47"/>
    <mergeCell ref="AC46:AC47"/>
    <mergeCell ref="M46:M47"/>
    <mergeCell ref="N46:N47"/>
    <mergeCell ref="P46:P47"/>
    <mergeCell ref="Q46:Q47"/>
    <mergeCell ref="S46:S47"/>
    <mergeCell ref="T46:T47"/>
    <mergeCell ref="D46:D47"/>
    <mergeCell ref="E46:E47"/>
    <mergeCell ref="G46:G47"/>
    <mergeCell ref="H46:H47"/>
    <mergeCell ref="J46:J47"/>
    <mergeCell ref="K46:K47"/>
    <mergeCell ref="AI48:AI49"/>
    <mergeCell ref="AK48:AK49"/>
    <mergeCell ref="A46:A47"/>
    <mergeCell ref="Z48:Z49"/>
    <mergeCell ref="AB48:AB49"/>
    <mergeCell ref="AC48:AC49"/>
    <mergeCell ref="AE48:AE49"/>
    <mergeCell ref="AF48:AF49"/>
    <mergeCell ref="AH48:AH49"/>
    <mergeCell ref="Q48:Q49"/>
    <mergeCell ref="S48:S49"/>
    <mergeCell ref="T48:T49"/>
    <mergeCell ref="V48:V49"/>
    <mergeCell ref="W48:W49"/>
    <mergeCell ref="Y48:Y49"/>
    <mergeCell ref="H48:H49"/>
    <mergeCell ref="J48:J49"/>
    <mergeCell ref="K48:K49"/>
    <mergeCell ref="M48:M49"/>
    <mergeCell ref="N48:N49"/>
    <mergeCell ref="P48:P49"/>
    <mergeCell ref="D52:D53"/>
    <mergeCell ref="E52:E53"/>
    <mergeCell ref="G52:G53"/>
    <mergeCell ref="AH52:AH53"/>
    <mergeCell ref="Q52:Q53"/>
    <mergeCell ref="S52:S53"/>
    <mergeCell ref="T52:T53"/>
    <mergeCell ref="V52:V53"/>
    <mergeCell ref="W52:W53"/>
    <mergeCell ref="Y52:Y53"/>
    <mergeCell ref="H52:H53"/>
    <mergeCell ref="J52:J53"/>
    <mergeCell ref="K52:K53"/>
    <mergeCell ref="M52:M53"/>
    <mergeCell ref="N52:N53"/>
    <mergeCell ref="P52:P53"/>
    <mergeCell ref="AI50:AI51"/>
    <mergeCell ref="AK50:AK51"/>
    <mergeCell ref="A52:A53"/>
    <mergeCell ref="V50:V51"/>
    <mergeCell ref="W50:W51"/>
    <mergeCell ref="Y50:Y51"/>
    <mergeCell ref="Z50:Z51"/>
    <mergeCell ref="AB50:AB51"/>
    <mergeCell ref="AC50:AC51"/>
    <mergeCell ref="M50:M51"/>
    <mergeCell ref="N50:N51"/>
    <mergeCell ref="P50:P51"/>
    <mergeCell ref="Q50:Q51"/>
    <mergeCell ref="S50:S51"/>
    <mergeCell ref="T50:T51"/>
    <mergeCell ref="D50:D51"/>
    <mergeCell ref="E50:E51"/>
    <mergeCell ref="G50:G51"/>
    <mergeCell ref="H50:H51"/>
    <mergeCell ref="J50:J51"/>
    <mergeCell ref="K50:K51"/>
    <mergeCell ref="AI52:AI53"/>
    <mergeCell ref="AK52:AK53"/>
    <mergeCell ref="A50:A51"/>
    <mergeCell ref="Z52:Z53"/>
    <mergeCell ref="AB52:AB53"/>
    <mergeCell ref="AC52:AC53"/>
    <mergeCell ref="AE52:AE53"/>
    <mergeCell ref="AF52:AF53"/>
    <mergeCell ref="AI54:AI55"/>
    <mergeCell ref="AK54:AK55"/>
    <mergeCell ref="A56:A57"/>
    <mergeCell ref="V54:V55"/>
    <mergeCell ref="W54:W55"/>
    <mergeCell ref="Y54:Y55"/>
    <mergeCell ref="Z54:Z55"/>
    <mergeCell ref="AB54:AB55"/>
    <mergeCell ref="AC54:AC55"/>
    <mergeCell ref="M54:M55"/>
    <mergeCell ref="N54:N55"/>
    <mergeCell ref="P54:P55"/>
    <mergeCell ref="Q54:Q55"/>
    <mergeCell ref="S54:S55"/>
    <mergeCell ref="T54:T55"/>
    <mergeCell ref="D54:D55"/>
    <mergeCell ref="E54:E55"/>
    <mergeCell ref="G54:G55"/>
    <mergeCell ref="H54:H55"/>
    <mergeCell ref="J54:J55"/>
    <mergeCell ref="K54:K55"/>
    <mergeCell ref="A54:A55"/>
    <mergeCell ref="AE54:AE55"/>
    <mergeCell ref="AF54:AF55"/>
    <mergeCell ref="AH54:AH55"/>
    <mergeCell ref="D58:D59"/>
    <mergeCell ref="E58:E59"/>
    <mergeCell ref="G58:G59"/>
    <mergeCell ref="H58:H59"/>
    <mergeCell ref="AF56:AF57"/>
    <mergeCell ref="AH56:AH57"/>
    <mergeCell ref="AI56:AI57"/>
    <mergeCell ref="AK56:AK57"/>
    <mergeCell ref="A58:A59"/>
    <mergeCell ref="W56:W57"/>
    <mergeCell ref="Y56:Y57"/>
    <mergeCell ref="Z56:Z57"/>
    <mergeCell ref="AB56:AB57"/>
    <mergeCell ref="AC56:AC57"/>
    <mergeCell ref="AE56:AE57"/>
    <mergeCell ref="N56:N57"/>
    <mergeCell ref="P56:P57"/>
    <mergeCell ref="Q56:Q57"/>
    <mergeCell ref="S56:S57"/>
    <mergeCell ref="T56:T57"/>
    <mergeCell ref="V56:V57"/>
    <mergeCell ref="E56:E57"/>
    <mergeCell ref="G56:G57"/>
    <mergeCell ref="H56:H57"/>
    <mergeCell ref="J56:J57"/>
    <mergeCell ref="K56:K57"/>
    <mergeCell ref="M56:M57"/>
    <mergeCell ref="D56:D57"/>
    <mergeCell ref="AK58:AK59"/>
    <mergeCell ref="AB58:AB59"/>
    <mergeCell ref="AC58:AC59"/>
    <mergeCell ref="AE58:AE59"/>
    <mergeCell ref="AF58:AF59"/>
    <mergeCell ref="AH58:AH59"/>
    <mergeCell ref="AI58:AI59"/>
    <mergeCell ref="S58:S59"/>
    <mergeCell ref="T58:T59"/>
    <mergeCell ref="V58:V59"/>
    <mergeCell ref="W58:W59"/>
    <mergeCell ref="Y58:Y59"/>
    <mergeCell ref="Z58:Z59"/>
    <mergeCell ref="J58:J59"/>
    <mergeCell ref="K58:K59"/>
    <mergeCell ref="M58:M59"/>
    <mergeCell ref="N58:N59"/>
    <mergeCell ref="P58:P59"/>
    <mergeCell ref="Q58:Q59"/>
    <mergeCell ref="AF60:AF61"/>
    <mergeCell ref="AH60:AH61"/>
    <mergeCell ref="AI60:AI61"/>
    <mergeCell ref="AK60:AK61"/>
    <mergeCell ref="A62:A63"/>
    <mergeCell ref="W60:W61"/>
    <mergeCell ref="Y60:Y61"/>
    <mergeCell ref="Z60:Z61"/>
    <mergeCell ref="AB60:AB61"/>
    <mergeCell ref="AC60:AC61"/>
    <mergeCell ref="AE60:AE61"/>
    <mergeCell ref="N60:N61"/>
    <mergeCell ref="P60:P61"/>
    <mergeCell ref="Q60:Q61"/>
    <mergeCell ref="S60:S61"/>
    <mergeCell ref="T60:T61"/>
    <mergeCell ref="V60:V61"/>
    <mergeCell ref="E60:E61"/>
    <mergeCell ref="G60:G61"/>
    <mergeCell ref="H60:H61"/>
    <mergeCell ref="J60:J61"/>
    <mergeCell ref="K60:K61"/>
    <mergeCell ref="M60:M61"/>
    <mergeCell ref="A60:A61"/>
    <mergeCell ref="D60:D61"/>
    <mergeCell ref="AK62:AK63"/>
    <mergeCell ref="A64:A65"/>
    <mergeCell ref="D64:D65"/>
    <mergeCell ref="AB62:AB63"/>
    <mergeCell ref="AC62:AC63"/>
    <mergeCell ref="AE62:AE63"/>
    <mergeCell ref="AF62:AF63"/>
    <mergeCell ref="AH62:AH63"/>
    <mergeCell ref="AI62:AI63"/>
    <mergeCell ref="S62:S63"/>
    <mergeCell ref="T62:T63"/>
    <mergeCell ref="V62:V63"/>
    <mergeCell ref="W62:W63"/>
    <mergeCell ref="Y62:Y63"/>
    <mergeCell ref="Z62:Z63"/>
    <mergeCell ref="J62:J63"/>
    <mergeCell ref="K62:K63"/>
    <mergeCell ref="M62:M63"/>
    <mergeCell ref="N62:N63"/>
    <mergeCell ref="P62:P63"/>
    <mergeCell ref="Q62:Q63"/>
    <mergeCell ref="D62:D63"/>
    <mergeCell ref="E62:E63"/>
    <mergeCell ref="G62:G63"/>
    <mergeCell ref="H62:H63"/>
    <mergeCell ref="AF64:AF65"/>
    <mergeCell ref="AH64:AH65"/>
    <mergeCell ref="AI64:AI65"/>
    <mergeCell ref="AK68:AK69"/>
    <mergeCell ref="AK64:AK65"/>
    <mergeCell ref="W64:W65"/>
    <mergeCell ref="Y64:Y65"/>
    <mergeCell ref="Z64:Z65"/>
    <mergeCell ref="AB64:AB65"/>
    <mergeCell ref="AC64:AC65"/>
    <mergeCell ref="AE64:AE65"/>
    <mergeCell ref="N64:N65"/>
    <mergeCell ref="P64:P65"/>
    <mergeCell ref="Q64:Q65"/>
    <mergeCell ref="S64:S65"/>
    <mergeCell ref="T64:T65"/>
    <mergeCell ref="V64:V65"/>
    <mergeCell ref="E64:E65"/>
    <mergeCell ref="G64:G65"/>
    <mergeCell ref="H64:H65"/>
    <mergeCell ref="J64:J65"/>
    <mergeCell ref="K64:K65"/>
    <mergeCell ref="M64:M65"/>
    <mergeCell ref="AB68:AB69"/>
    <mergeCell ref="AC68:AC69"/>
    <mergeCell ref="AE68:AE69"/>
    <mergeCell ref="AF68:AF69"/>
    <mergeCell ref="AH68:AH69"/>
    <mergeCell ref="AI68:AI69"/>
    <mergeCell ref="S68:S69"/>
    <mergeCell ref="T68:T69"/>
    <mergeCell ref="V68:V69"/>
    <mergeCell ref="W68:W69"/>
    <mergeCell ref="Y68:Y69"/>
    <mergeCell ref="Z68:Z69"/>
    <mergeCell ref="D68:D69"/>
    <mergeCell ref="E68:E69"/>
    <mergeCell ref="G68:G69"/>
    <mergeCell ref="H68:H69"/>
    <mergeCell ref="AF70:AF71"/>
    <mergeCell ref="AH70:AH71"/>
    <mergeCell ref="AI70:AI71"/>
    <mergeCell ref="AF66:AF67"/>
    <mergeCell ref="AH66:AH67"/>
    <mergeCell ref="AI66:AI67"/>
    <mergeCell ref="AK66:AK67"/>
    <mergeCell ref="A68:A69"/>
    <mergeCell ref="W66:W67"/>
    <mergeCell ref="Y66:Y67"/>
    <mergeCell ref="Z66:Z67"/>
    <mergeCell ref="AB66:AB67"/>
    <mergeCell ref="AC66:AC67"/>
    <mergeCell ref="AE66:AE67"/>
    <mergeCell ref="N66:N67"/>
    <mergeCell ref="P66:P67"/>
    <mergeCell ref="Q66:Q67"/>
    <mergeCell ref="S66:S67"/>
    <mergeCell ref="T66:T67"/>
    <mergeCell ref="V66:V67"/>
    <mergeCell ref="E66:E67"/>
    <mergeCell ref="G66:G67"/>
    <mergeCell ref="H66:H67"/>
    <mergeCell ref="J66:J67"/>
    <mergeCell ref="K66:K67"/>
    <mergeCell ref="M66:M67"/>
    <mergeCell ref="A66:A67"/>
    <mergeCell ref="D66:D67"/>
    <mergeCell ref="J68:J69"/>
    <mergeCell ref="K68:K69"/>
    <mergeCell ref="M68:M69"/>
    <mergeCell ref="N68:N69"/>
    <mergeCell ref="P68:P69"/>
    <mergeCell ref="Q68:Q69"/>
    <mergeCell ref="D72:D73"/>
    <mergeCell ref="E72:E73"/>
    <mergeCell ref="G72:G73"/>
    <mergeCell ref="H72:H73"/>
    <mergeCell ref="AK70:AK71"/>
    <mergeCell ref="A72:A73"/>
    <mergeCell ref="W70:W71"/>
    <mergeCell ref="Y70:Y71"/>
    <mergeCell ref="Z70:Z71"/>
    <mergeCell ref="AB70:AB71"/>
    <mergeCell ref="AC70:AC71"/>
    <mergeCell ref="AE70:AE71"/>
    <mergeCell ref="N70:N71"/>
    <mergeCell ref="P70:P71"/>
    <mergeCell ref="Q70:Q71"/>
    <mergeCell ref="S70:S71"/>
    <mergeCell ref="T70:T71"/>
    <mergeCell ref="V70:V71"/>
    <mergeCell ref="E70:E71"/>
    <mergeCell ref="G70:G71"/>
    <mergeCell ref="H70:H71"/>
    <mergeCell ref="J70:J71"/>
    <mergeCell ref="K70:K71"/>
    <mergeCell ref="M70:M71"/>
    <mergeCell ref="AK72:AK73"/>
    <mergeCell ref="A70:A71"/>
    <mergeCell ref="D70:D71"/>
    <mergeCell ref="AB72:AB73"/>
    <mergeCell ref="AC72:AC73"/>
    <mergeCell ref="AE72:AE73"/>
    <mergeCell ref="AF72:AF73"/>
    <mergeCell ref="AH72:AH73"/>
    <mergeCell ref="AI72:AI73"/>
    <mergeCell ref="S72:S73"/>
    <mergeCell ref="T72:T73"/>
    <mergeCell ref="V72:V73"/>
    <mergeCell ref="W72:W73"/>
    <mergeCell ref="Y72:Y73"/>
    <mergeCell ref="Z72:Z73"/>
    <mergeCell ref="J72:J73"/>
    <mergeCell ref="K72:K73"/>
    <mergeCell ref="M72:M73"/>
    <mergeCell ref="N72:N73"/>
    <mergeCell ref="P72:P73"/>
    <mergeCell ref="Q72:Q73"/>
    <mergeCell ref="Q76:Q77"/>
    <mergeCell ref="D76:D77"/>
    <mergeCell ref="E76:E77"/>
    <mergeCell ref="G76:G77"/>
    <mergeCell ref="H76:H77"/>
    <mergeCell ref="AF74:AF75"/>
    <mergeCell ref="AH74:AH75"/>
    <mergeCell ref="AI74:AI75"/>
    <mergeCell ref="AK74:AK75"/>
    <mergeCell ref="A76:A77"/>
    <mergeCell ref="W74:W75"/>
    <mergeCell ref="Y74:Y75"/>
    <mergeCell ref="Z74:Z75"/>
    <mergeCell ref="AB74:AB75"/>
    <mergeCell ref="AC74:AC75"/>
    <mergeCell ref="AE74:AE75"/>
    <mergeCell ref="N74:N75"/>
    <mergeCell ref="P74:P75"/>
    <mergeCell ref="Q74:Q75"/>
    <mergeCell ref="S74:S75"/>
    <mergeCell ref="T74:T75"/>
    <mergeCell ref="V74:V75"/>
    <mergeCell ref="E74:E75"/>
    <mergeCell ref="G74:G75"/>
    <mergeCell ref="H74:H75"/>
    <mergeCell ref="J74:J75"/>
    <mergeCell ref="K74:K75"/>
    <mergeCell ref="M74:M75"/>
    <mergeCell ref="A74:A75"/>
    <mergeCell ref="D74:D75"/>
    <mergeCell ref="N78:N79"/>
    <mergeCell ref="P78:P79"/>
    <mergeCell ref="Q78:Q79"/>
    <mergeCell ref="S78:S79"/>
    <mergeCell ref="T78:T79"/>
    <mergeCell ref="V78:V79"/>
    <mergeCell ref="E78:E79"/>
    <mergeCell ref="G78:G79"/>
    <mergeCell ref="H78:H79"/>
    <mergeCell ref="J78:J79"/>
    <mergeCell ref="K78:K79"/>
    <mergeCell ref="M78:M79"/>
    <mergeCell ref="AK76:AK77"/>
    <mergeCell ref="A78:A79"/>
    <mergeCell ref="D78:D79"/>
    <mergeCell ref="AB76:AB77"/>
    <mergeCell ref="AC76:AC77"/>
    <mergeCell ref="AE76:AE77"/>
    <mergeCell ref="AF76:AF77"/>
    <mergeCell ref="AH76:AH77"/>
    <mergeCell ref="AI76:AI77"/>
    <mergeCell ref="S76:S77"/>
    <mergeCell ref="T76:T77"/>
    <mergeCell ref="V76:V77"/>
    <mergeCell ref="W76:W77"/>
    <mergeCell ref="Y76:Y77"/>
    <mergeCell ref="Z76:Z77"/>
    <mergeCell ref="J76:J77"/>
    <mergeCell ref="K76:K77"/>
    <mergeCell ref="M76:M77"/>
    <mergeCell ref="N76:N77"/>
    <mergeCell ref="P76:P77"/>
    <mergeCell ref="E82:E83"/>
    <mergeCell ref="G82:G83"/>
    <mergeCell ref="H82:H83"/>
    <mergeCell ref="J82:J83"/>
    <mergeCell ref="K82:K83"/>
    <mergeCell ref="M82:M83"/>
    <mergeCell ref="AK80:AK81"/>
    <mergeCell ref="A82:A83"/>
    <mergeCell ref="D82:D83"/>
    <mergeCell ref="AB80:AB81"/>
    <mergeCell ref="AC80:AC81"/>
    <mergeCell ref="AE80:AE81"/>
    <mergeCell ref="AF80:AF81"/>
    <mergeCell ref="AH80:AH81"/>
    <mergeCell ref="AI80:AI81"/>
    <mergeCell ref="S80:S81"/>
    <mergeCell ref="T80:T81"/>
    <mergeCell ref="V80:V81"/>
    <mergeCell ref="W80:W81"/>
    <mergeCell ref="Y80:Y81"/>
    <mergeCell ref="Z80:Z81"/>
    <mergeCell ref="J80:J81"/>
    <mergeCell ref="K80:K81"/>
    <mergeCell ref="M80:M81"/>
    <mergeCell ref="N80:N81"/>
    <mergeCell ref="P80:P81"/>
    <mergeCell ref="Q80:Q81"/>
    <mergeCell ref="D80:D81"/>
    <mergeCell ref="E80:E81"/>
    <mergeCell ref="G80:G81"/>
    <mergeCell ref="H80:H81"/>
    <mergeCell ref="A80:A81"/>
    <mergeCell ref="AF82:AF83"/>
    <mergeCell ref="AH82:AH83"/>
    <mergeCell ref="AI82:AI83"/>
    <mergeCell ref="AK82:AK83"/>
    <mergeCell ref="AM2:AM3"/>
    <mergeCell ref="AM4:AM5"/>
    <mergeCell ref="AM6:AM7"/>
    <mergeCell ref="AM8:AM9"/>
    <mergeCell ref="AM10:AM11"/>
    <mergeCell ref="AM12:AM13"/>
    <mergeCell ref="W82:W83"/>
    <mergeCell ref="Y82:Y83"/>
    <mergeCell ref="Z82:Z83"/>
    <mergeCell ref="AB82:AB83"/>
    <mergeCell ref="AC82:AC83"/>
    <mergeCell ref="AE82:AE83"/>
    <mergeCell ref="N82:N83"/>
    <mergeCell ref="P82:P83"/>
    <mergeCell ref="Q82:Q83"/>
    <mergeCell ref="S82:S83"/>
    <mergeCell ref="T82:T83"/>
    <mergeCell ref="V82:V83"/>
    <mergeCell ref="AF78:AF79"/>
    <mergeCell ref="AH78:AH79"/>
    <mergeCell ref="AI78:AI79"/>
    <mergeCell ref="AK78:AK79"/>
    <mergeCell ref="W78:W79"/>
    <mergeCell ref="Y78:Y79"/>
    <mergeCell ref="Z78:Z79"/>
    <mergeCell ref="AB78:AB79"/>
    <mergeCell ref="AC78:AC79"/>
    <mergeCell ref="AE78:AE79"/>
    <mergeCell ref="AM38:AM39"/>
    <mergeCell ref="AM40:AM41"/>
    <mergeCell ref="AM42:AM43"/>
    <mergeCell ref="AM44:AM45"/>
    <mergeCell ref="AM46:AM47"/>
    <mergeCell ref="AM48:AM49"/>
    <mergeCell ref="AM26:AM27"/>
    <mergeCell ref="AM28:AM29"/>
    <mergeCell ref="AM30:AM31"/>
    <mergeCell ref="AM32:AM33"/>
    <mergeCell ref="AM34:AM35"/>
    <mergeCell ref="AM36:AM37"/>
    <mergeCell ref="AM14:AM15"/>
    <mergeCell ref="AM16:AM17"/>
    <mergeCell ref="AM18:AM19"/>
    <mergeCell ref="AM20:AM21"/>
    <mergeCell ref="AM22:AM23"/>
    <mergeCell ref="AM24:AM25"/>
    <mergeCell ref="AM74:AM75"/>
    <mergeCell ref="AM76:AM77"/>
    <mergeCell ref="AM78:AM79"/>
    <mergeCell ref="AM80:AM81"/>
    <mergeCell ref="AM82:AM83"/>
    <mergeCell ref="AM62:AM63"/>
    <mergeCell ref="AM64:AM65"/>
    <mergeCell ref="AM66:AM67"/>
    <mergeCell ref="AM68:AM69"/>
    <mergeCell ref="AM70:AM71"/>
    <mergeCell ref="AM72:AM73"/>
    <mergeCell ref="AM50:AM51"/>
    <mergeCell ref="AM52:AM53"/>
    <mergeCell ref="AM54:AM55"/>
    <mergeCell ref="AM56:AM57"/>
    <mergeCell ref="AM58:AM59"/>
    <mergeCell ref="AM60:AM6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F914-222E-4CC8-A461-A34F15605D9B}">
  <dimension ref="A1:AP107"/>
  <sheetViews>
    <sheetView zoomScaleNormal="100" workbookViewId="0">
      <selection activeCell="C2" sqref="C2"/>
    </sheetView>
  </sheetViews>
  <sheetFormatPr baseColWidth="10" defaultRowHeight="35.25" customHeight="1" x14ac:dyDescent="0.25"/>
  <cols>
    <col min="1" max="1" width="27.5703125" style="92" customWidth="1"/>
    <col min="2" max="2" width="17.7109375" style="92" customWidth="1"/>
    <col min="3" max="3" width="11.42578125" style="92" customWidth="1"/>
    <col min="4" max="5" width="11.42578125" style="92" hidden="1" customWidth="1"/>
    <col min="6" max="6" width="11.42578125" style="92" customWidth="1"/>
    <col min="7" max="8" width="11.42578125" style="92" hidden="1" customWidth="1"/>
    <col min="9" max="9" width="11.42578125" style="92" customWidth="1"/>
    <col min="10" max="11" width="11.42578125" style="92" hidden="1" customWidth="1"/>
    <col min="12" max="12" width="11.42578125" style="92" customWidth="1"/>
    <col min="13" max="14" width="11.42578125" style="92" hidden="1" customWidth="1"/>
    <col min="15" max="15" width="11.42578125" style="92" customWidth="1"/>
    <col min="16" max="17" width="11.42578125" style="92" hidden="1" customWidth="1"/>
    <col min="18" max="18" width="11.42578125" style="92" customWidth="1"/>
    <col min="19" max="21" width="11.42578125" style="92" hidden="1" customWidth="1"/>
    <col min="22" max="22" width="11.42578125" style="92" customWidth="1"/>
    <col min="23" max="24" width="11.42578125" style="92" hidden="1" customWidth="1"/>
    <col min="25" max="25" width="11.42578125" style="92" customWidth="1"/>
    <col min="26" max="27" width="11.42578125" style="92" hidden="1" customWidth="1"/>
    <col min="28" max="28" width="11.42578125" style="92" customWidth="1"/>
    <col min="29" max="30" width="11.42578125" style="92" hidden="1" customWidth="1"/>
    <col min="31" max="31" width="11.42578125" style="92" customWidth="1"/>
    <col min="32" max="33" width="11.42578125" style="92" hidden="1" customWidth="1"/>
    <col min="34" max="34" width="11.42578125" style="92" customWidth="1"/>
    <col min="35" max="36" width="11.42578125" style="92" hidden="1" customWidth="1"/>
    <col min="37" max="37" width="11.42578125" style="92" customWidth="1"/>
    <col min="38" max="39" width="11.42578125" style="92" hidden="1" customWidth="1"/>
    <col min="40" max="41" width="0" style="92" hidden="1" customWidth="1"/>
    <col min="42" max="16384" width="11.42578125" style="92"/>
  </cols>
  <sheetData>
    <row r="1" spans="1:42" ht="35.25" customHeight="1" x14ac:dyDescent="0.25">
      <c r="A1" s="217" t="s">
        <v>0</v>
      </c>
      <c r="B1" s="218"/>
      <c r="C1" s="64">
        <v>43101</v>
      </c>
      <c r="D1" s="62" t="s">
        <v>2</v>
      </c>
      <c r="E1" s="62" t="s">
        <v>3</v>
      </c>
      <c r="F1" s="64">
        <v>43132</v>
      </c>
      <c r="G1" s="62" t="s">
        <v>2</v>
      </c>
      <c r="H1" s="62" t="s">
        <v>3</v>
      </c>
      <c r="I1" s="64">
        <v>43160</v>
      </c>
      <c r="J1" s="62" t="s">
        <v>2</v>
      </c>
      <c r="K1" s="62" t="s">
        <v>3</v>
      </c>
      <c r="L1" s="64">
        <v>43191</v>
      </c>
      <c r="M1" s="62" t="s">
        <v>2</v>
      </c>
      <c r="N1" s="62" t="s">
        <v>3</v>
      </c>
      <c r="O1" s="64">
        <v>43221</v>
      </c>
      <c r="P1" s="62" t="s">
        <v>2</v>
      </c>
      <c r="Q1" s="62" t="s">
        <v>3</v>
      </c>
      <c r="R1" s="64">
        <v>43252</v>
      </c>
      <c r="S1" s="62" t="s">
        <v>2</v>
      </c>
      <c r="T1" s="62" t="s">
        <v>3</v>
      </c>
      <c r="U1" s="64" t="s">
        <v>223</v>
      </c>
      <c r="V1" s="64">
        <v>43282</v>
      </c>
      <c r="W1" s="64" t="s">
        <v>232</v>
      </c>
      <c r="X1" s="64" t="s">
        <v>3</v>
      </c>
      <c r="Y1" s="64">
        <v>43313</v>
      </c>
      <c r="Z1" s="64" t="s">
        <v>232</v>
      </c>
      <c r="AA1" s="64" t="s">
        <v>3</v>
      </c>
      <c r="AB1" s="64">
        <v>43344</v>
      </c>
      <c r="AC1" s="64" t="s">
        <v>232</v>
      </c>
      <c r="AD1" s="64" t="s">
        <v>3</v>
      </c>
      <c r="AE1" s="64">
        <v>43374</v>
      </c>
      <c r="AF1" s="64" t="s">
        <v>232</v>
      </c>
      <c r="AG1" s="64" t="s">
        <v>3</v>
      </c>
      <c r="AH1" s="64">
        <v>43405</v>
      </c>
      <c r="AI1" s="64" t="s">
        <v>232</v>
      </c>
      <c r="AJ1" s="64" t="s">
        <v>3</v>
      </c>
      <c r="AK1" s="64">
        <v>43435</v>
      </c>
      <c r="AL1" s="64" t="s">
        <v>232</v>
      </c>
      <c r="AM1" s="64" t="s">
        <v>3</v>
      </c>
      <c r="AN1" s="64" t="s">
        <v>315</v>
      </c>
      <c r="AO1" s="91" t="s">
        <v>469</v>
      </c>
    </row>
    <row r="2" spans="1:42" ht="35.25" customHeight="1" x14ac:dyDescent="0.25">
      <c r="A2" s="195" t="s">
        <v>10</v>
      </c>
      <c r="B2" s="85" t="s">
        <v>11</v>
      </c>
      <c r="C2" s="84">
        <v>92</v>
      </c>
      <c r="D2" s="200">
        <f>+C2/C3</f>
        <v>0.6216216216216216</v>
      </c>
      <c r="E2" s="198"/>
      <c r="F2" s="84">
        <v>91</v>
      </c>
      <c r="G2" s="200">
        <f>+F2/F3</f>
        <v>0.68939393939393945</v>
      </c>
      <c r="H2" s="198"/>
      <c r="I2" s="84">
        <v>108</v>
      </c>
      <c r="J2" s="200">
        <f>+I2/I3</f>
        <v>0.69230769230769229</v>
      </c>
      <c r="K2" s="198"/>
      <c r="L2" s="84">
        <v>74</v>
      </c>
      <c r="M2" s="200">
        <f>+L2/L3</f>
        <v>0.66666666666666663</v>
      </c>
      <c r="N2" s="198"/>
      <c r="O2" s="84">
        <v>78</v>
      </c>
      <c r="P2" s="200">
        <f>+O2/O3</f>
        <v>0.69026548672566368</v>
      </c>
      <c r="Q2" s="198"/>
      <c r="R2" s="84">
        <v>80</v>
      </c>
      <c r="S2" s="200">
        <f>+R2/R3</f>
        <v>0.64516129032258063</v>
      </c>
      <c r="T2" s="198"/>
      <c r="U2" s="84">
        <f>+C2+F2+I2+L2+O2+R2</f>
        <v>523</v>
      </c>
      <c r="V2" s="84">
        <v>65</v>
      </c>
      <c r="W2" s="205">
        <f>V2/V3</f>
        <v>0.54166666666666663</v>
      </c>
      <c r="X2" s="198" t="s">
        <v>233</v>
      </c>
      <c r="Y2" s="84">
        <v>94</v>
      </c>
      <c r="Z2" s="205">
        <f>Y2/Y3</f>
        <v>0.61038961038961037</v>
      </c>
      <c r="AA2" s="198" t="s">
        <v>234</v>
      </c>
      <c r="AB2" s="84">
        <v>97</v>
      </c>
      <c r="AC2" s="205">
        <f>AB2/AB3</f>
        <v>0.74045801526717558</v>
      </c>
      <c r="AD2" s="198" t="s">
        <v>252</v>
      </c>
      <c r="AE2" s="84">
        <v>83</v>
      </c>
      <c r="AF2" s="205">
        <f>AE2/AE3</f>
        <v>0.61029411764705888</v>
      </c>
      <c r="AG2" s="198" t="s">
        <v>265</v>
      </c>
      <c r="AH2" s="84">
        <v>104</v>
      </c>
      <c r="AI2" s="205">
        <f>AH2/AH3</f>
        <v>0.574585635359116</v>
      </c>
      <c r="AJ2" s="198" t="s">
        <v>298</v>
      </c>
      <c r="AK2" s="84">
        <v>101</v>
      </c>
      <c r="AL2" s="205">
        <f>AK2/AK3</f>
        <v>0.71126760563380287</v>
      </c>
      <c r="AM2" s="198" t="s">
        <v>297</v>
      </c>
      <c r="AN2" s="84">
        <f>AK2+AH2+AE2+AB2+Y2+V2</f>
        <v>544</v>
      </c>
      <c r="AO2" s="202">
        <f>+AN2/AN3</f>
        <v>0.62962962962962965</v>
      </c>
      <c r="AP2" s="92">
        <f>+AO2*100</f>
        <v>62.962962962962962</v>
      </c>
    </row>
    <row r="3" spans="1:42" ht="35.25" customHeight="1" x14ac:dyDescent="0.25">
      <c r="A3" s="195"/>
      <c r="B3" s="85" t="s">
        <v>12</v>
      </c>
      <c r="C3" s="84">
        <v>148</v>
      </c>
      <c r="D3" s="201"/>
      <c r="E3" s="199"/>
      <c r="F3" s="84">
        <v>132</v>
      </c>
      <c r="G3" s="201"/>
      <c r="H3" s="199"/>
      <c r="I3" s="84">
        <v>156</v>
      </c>
      <c r="J3" s="201"/>
      <c r="K3" s="199"/>
      <c r="L3" s="84">
        <v>111</v>
      </c>
      <c r="M3" s="201"/>
      <c r="N3" s="199"/>
      <c r="O3" s="84">
        <v>113</v>
      </c>
      <c r="P3" s="201"/>
      <c r="Q3" s="199"/>
      <c r="R3" s="84">
        <v>124</v>
      </c>
      <c r="S3" s="201"/>
      <c r="T3" s="199"/>
      <c r="U3" s="84">
        <f t="shared" ref="U3:U66" si="0">+C3+F3+I3+L3+O3+R3</f>
        <v>784</v>
      </c>
      <c r="V3" s="84">
        <v>120</v>
      </c>
      <c r="W3" s="206"/>
      <c r="X3" s="199"/>
      <c r="Y3" s="84">
        <v>154</v>
      </c>
      <c r="Z3" s="206"/>
      <c r="AA3" s="199"/>
      <c r="AB3" s="84">
        <v>131</v>
      </c>
      <c r="AC3" s="206"/>
      <c r="AD3" s="199"/>
      <c r="AE3" s="84">
        <v>136</v>
      </c>
      <c r="AF3" s="206"/>
      <c r="AG3" s="199"/>
      <c r="AH3" s="84">
        <v>181</v>
      </c>
      <c r="AI3" s="206"/>
      <c r="AJ3" s="199"/>
      <c r="AK3" s="84">
        <v>142</v>
      </c>
      <c r="AL3" s="206"/>
      <c r="AM3" s="199"/>
      <c r="AN3" s="84">
        <f t="shared" ref="AN3:AN66" si="1">AK3+AH3+AE3+AB3+Y3+V3</f>
        <v>864</v>
      </c>
      <c r="AO3" s="202"/>
    </row>
    <row r="4" spans="1:42" ht="52.5" customHeight="1" x14ac:dyDescent="0.25">
      <c r="A4" s="195" t="s">
        <v>13</v>
      </c>
      <c r="B4" s="85" t="s">
        <v>14</v>
      </c>
      <c r="C4" s="84">
        <v>2</v>
      </c>
      <c r="D4" s="200">
        <f>+C4/C5</f>
        <v>1.3333333333333334E-2</v>
      </c>
      <c r="E4" s="198"/>
      <c r="F4" s="84">
        <v>1</v>
      </c>
      <c r="G4" s="200">
        <f>+F4/F5</f>
        <v>7.5187969924812026E-3</v>
      </c>
      <c r="H4" s="198"/>
      <c r="I4" s="84">
        <v>2</v>
      </c>
      <c r="J4" s="200">
        <f>+I4/I5</f>
        <v>1.2658227848101266E-2</v>
      </c>
      <c r="K4" s="198"/>
      <c r="L4" s="84">
        <v>3</v>
      </c>
      <c r="M4" s="200">
        <f>+L4/L5</f>
        <v>2.6315789473684209E-2</v>
      </c>
      <c r="N4" s="198"/>
      <c r="O4" s="84">
        <v>3</v>
      </c>
      <c r="P4" s="200">
        <f>+O4/O5</f>
        <v>2.5862068965517241E-2</v>
      </c>
      <c r="Q4" s="198"/>
      <c r="R4" s="84">
        <v>5</v>
      </c>
      <c r="S4" s="200">
        <f>+R4/R5</f>
        <v>3.875968992248062E-2</v>
      </c>
      <c r="T4" s="198"/>
      <c r="U4" s="84">
        <f t="shared" si="0"/>
        <v>16</v>
      </c>
      <c r="V4" s="84">
        <v>5</v>
      </c>
      <c r="W4" s="215">
        <f>V4/V5</f>
        <v>0.04</v>
      </c>
      <c r="X4" s="198" t="s">
        <v>235</v>
      </c>
      <c r="Y4" s="84">
        <v>5</v>
      </c>
      <c r="Z4" s="215">
        <f>Y4/Y5</f>
        <v>3.1446540880503145E-2</v>
      </c>
      <c r="AA4" s="198" t="s">
        <v>236</v>
      </c>
      <c r="AB4" s="84">
        <v>3</v>
      </c>
      <c r="AC4" s="215">
        <f>AB4/AB5</f>
        <v>2.2388059701492536E-2</v>
      </c>
      <c r="AD4" s="198" t="s">
        <v>253</v>
      </c>
      <c r="AE4" s="84">
        <v>5</v>
      </c>
      <c r="AF4" s="215">
        <f>AE4/AE5</f>
        <v>3.5460992907801421E-2</v>
      </c>
      <c r="AG4" s="198" t="s">
        <v>266</v>
      </c>
      <c r="AH4" s="84">
        <v>3</v>
      </c>
      <c r="AI4" s="215">
        <f>AH4/AH5</f>
        <v>1.6304347826086956E-2</v>
      </c>
      <c r="AJ4" s="198" t="s">
        <v>299</v>
      </c>
      <c r="AK4" s="84">
        <v>13</v>
      </c>
      <c r="AL4" s="215">
        <f>AK4/AK5</f>
        <v>8.387096774193549E-2</v>
      </c>
      <c r="AM4" s="198" t="s">
        <v>300</v>
      </c>
      <c r="AN4" s="84">
        <f t="shared" si="1"/>
        <v>34</v>
      </c>
      <c r="AO4" s="202">
        <f t="shared" ref="AO4" si="2">+AN4/AN5</f>
        <v>3.7861915367483297E-2</v>
      </c>
    </row>
    <row r="5" spans="1:42" ht="52.5" customHeight="1" x14ac:dyDescent="0.25">
      <c r="A5" s="195"/>
      <c r="B5" s="85" t="s">
        <v>15</v>
      </c>
      <c r="C5" s="84">
        <f>+C3+C4</f>
        <v>150</v>
      </c>
      <c r="D5" s="201"/>
      <c r="E5" s="199"/>
      <c r="F5" s="84">
        <f>+F3+F4</f>
        <v>133</v>
      </c>
      <c r="G5" s="201"/>
      <c r="H5" s="199"/>
      <c r="I5" s="84">
        <f>+I3+I4</f>
        <v>158</v>
      </c>
      <c r="J5" s="201"/>
      <c r="K5" s="199"/>
      <c r="L5" s="84">
        <f>+L3+L4</f>
        <v>114</v>
      </c>
      <c r="M5" s="201"/>
      <c r="N5" s="199"/>
      <c r="O5" s="84">
        <f>+O3+O4</f>
        <v>116</v>
      </c>
      <c r="P5" s="201"/>
      <c r="Q5" s="199"/>
      <c r="R5" s="84">
        <f>+R3+R4</f>
        <v>129</v>
      </c>
      <c r="S5" s="201"/>
      <c r="T5" s="199"/>
      <c r="U5" s="84">
        <f t="shared" si="0"/>
        <v>800</v>
      </c>
      <c r="V5" s="84">
        <f>+V4+120</f>
        <v>125</v>
      </c>
      <c r="W5" s="216"/>
      <c r="X5" s="199"/>
      <c r="Y5" s="84">
        <v>159</v>
      </c>
      <c r="Z5" s="216"/>
      <c r="AA5" s="199"/>
      <c r="AB5" s="84">
        <f>131+3</f>
        <v>134</v>
      </c>
      <c r="AC5" s="216"/>
      <c r="AD5" s="199"/>
      <c r="AE5" s="84">
        <f>+AE3+AE4</f>
        <v>141</v>
      </c>
      <c r="AF5" s="216"/>
      <c r="AG5" s="199"/>
      <c r="AH5" s="84">
        <v>184</v>
      </c>
      <c r="AI5" s="216"/>
      <c r="AJ5" s="199"/>
      <c r="AK5" s="84">
        <f>+AK3+AK4</f>
        <v>155</v>
      </c>
      <c r="AL5" s="216"/>
      <c r="AM5" s="199"/>
      <c r="AN5" s="84">
        <f t="shared" si="1"/>
        <v>898</v>
      </c>
      <c r="AO5" s="202"/>
    </row>
    <row r="6" spans="1:42" ht="35.25" customHeight="1" x14ac:dyDescent="0.25">
      <c r="A6" s="195" t="s">
        <v>16</v>
      </c>
      <c r="B6" s="85" t="s">
        <v>17</v>
      </c>
      <c r="C6" s="84">
        <v>25</v>
      </c>
      <c r="D6" s="200">
        <v>0</v>
      </c>
      <c r="E6" s="198" t="s">
        <v>209</v>
      </c>
      <c r="F6" s="84">
        <v>4</v>
      </c>
      <c r="G6" s="200">
        <v>0</v>
      </c>
      <c r="H6" s="198" t="s">
        <v>209</v>
      </c>
      <c r="I6" s="84">
        <v>3</v>
      </c>
      <c r="J6" s="200">
        <v>0</v>
      </c>
      <c r="K6" s="198" t="s">
        <v>209</v>
      </c>
      <c r="L6" s="84">
        <v>4</v>
      </c>
      <c r="M6" s="200">
        <v>0</v>
      </c>
      <c r="N6" s="198" t="s">
        <v>209</v>
      </c>
      <c r="O6" s="84">
        <v>6</v>
      </c>
      <c r="P6" s="200">
        <v>0</v>
      </c>
      <c r="Q6" s="198" t="s">
        <v>209</v>
      </c>
      <c r="R6" s="84">
        <v>4</v>
      </c>
      <c r="S6" s="200">
        <v>0</v>
      </c>
      <c r="T6" s="198" t="s">
        <v>209</v>
      </c>
      <c r="U6" s="84">
        <f t="shared" si="0"/>
        <v>46</v>
      </c>
      <c r="V6" s="84">
        <v>6</v>
      </c>
      <c r="W6" s="198">
        <v>0</v>
      </c>
      <c r="X6" s="198" t="s">
        <v>225</v>
      </c>
      <c r="Y6" s="84">
        <v>6</v>
      </c>
      <c r="Z6" s="198">
        <v>0</v>
      </c>
      <c r="AA6" s="198" t="s">
        <v>225</v>
      </c>
      <c r="AB6" s="84">
        <v>9</v>
      </c>
      <c r="AC6" s="198">
        <f>AB6/AB7</f>
        <v>4.5</v>
      </c>
      <c r="AD6" s="198" t="s">
        <v>254</v>
      </c>
      <c r="AE6" s="84">
        <v>10</v>
      </c>
      <c r="AF6" s="198">
        <v>0</v>
      </c>
      <c r="AG6" s="198" t="s">
        <v>288</v>
      </c>
      <c r="AH6" s="84">
        <v>16</v>
      </c>
      <c r="AI6" s="198">
        <f>AH6/AH7</f>
        <v>16</v>
      </c>
      <c r="AJ6" s="198" t="s">
        <v>301</v>
      </c>
      <c r="AK6" s="84">
        <v>18</v>
      </c>
      <c r="AL6" s="198">
        <v>0</v>
      </c>
      <c r="AM6" s="198" t="s">
        <v>288</v>
      </c>
      <c r="AN6" s="84">
        <f t="shared" si="1"/>
        <v>65</v>
      </c>
      <c r="AO6" s="202">
        <f t="shared" ref="AO6" si="3">+AN6/AN7</f>
        <v>21.666666666666668</v>
      </c>
    </row>
    <row r="7" spans="1:42" ht="35.25" customHeight="1" x14ac:dyDescent="0.25">
      <c r="A7" s="195"/>
      <c r="B7" s="85" t="s">
        <v>18</v>
      </c>
      <c r="C7" s="84">
        <v>0</v>
      </c>
      <c r="D7" s="201"/>
      <c r="E7" s="199"/>
      <c r="F7" s="84">
        <v>0</v>
      </c>
      <c r="G7" s="201"/>
      <c r="H7" s="199"/>
      <c r="I7" s="84">
        <v>0</v>
      </c>
      <c r="J7" s="201"/>
      <c r="K7" s="199"/>
      <c r="L7" s="84">
        <v>0</v>
      </c>
      <c r="M7" s="201"/>
      <c r="N7" s="199"/>
      <c r="O7" s="84">
        <v>0</v>
      </c>
      <c r="P7" s="201"/>
      <c r="Q7" s="199"/>
      <c r="R7" s="84">
        <v>0</v>
      </c>
      <c r="S7" s="201"/>
      <c r="T7" s="199"/>
      <c r="U7" s="84">
        <f t="shared" si="0"/>
        <v>0</v>
      </c>
      <c r="V7" s="84">
        <v>0</v>
      </c>
      <c r="W7" s="199"/>
      <c r="X7" s="199"/>
      <c r="Y7" s="84">
        <v>0</v>
      </c>
      <c r="Z7" s="199"/>
      <c r="AA7" s="199"/>
      <c r="AB7" s="84">
        <v>2</v>
      </c>
      <c r="AC7" s="199"/>
      <c r="AD7" s="199"/>
      <c r="AE7" s="84">
        <v>0</v>
      </c>
      <c r="AF7" s="199"/>
      <c r="AG7" s="199"/>
      <c r="AH7" s="84">
        <v>1</v>
      </c>
      <c r="AI7" s="199"/>
      <c r="AJ7" s="199"/>
      <c r="AK7" s="84">
        <v>0</v>
      </c>
      <c r="AL7" s="199"/>
      <c r="AM7" s="199"/>
      <c r="AN7" s="84">
        <f t="shared" si="1"/>
        <v>3</v>
      </c>
      <c r="AO7" s="202"/>
    </row>
    <row r="8" spans="1:42" ht="35.25" customHeight="1" x14ac:dyDescent="0.25">
      <c r="A8" s="195" t="s">
        <v>19</v>
      </c>
      <c r="B8" s="85" t="s">
        <v>20</v>
      </c>
      <c r="C8" s="84">
        <v>148</v>
      </c>
      <c r="D8" s="200">
        <f>+C8/C9</f>
        <v>1</v>
      </c>
      <c r="E8" s="198"/>
      <c r="F8" s="84">
        <v>132</v>
      </c>
      <c r="G8" s="200">
        <f>+F8/F9</f>
        <v>1</v>
      </c>
      <c r="H8" s="198"/>
      <c r="I8" s="84">
        <v>156</v>
      </c>
      <c r="J8" s="200">
        <f>+I8/I9</f>
        <v>1</v>
      </c>
      <c r="K8" s="198"/>
      <c r="L8" s="84">
        <v>111</v>
      </c>
      <c r="M8" s="200">
        <f>+L8/L9</f>
        <v>1</v>
      </c>
      <c r="N8" s="198"/>
      <c r="O8" s="84">
        <v>113</v>
      </c>
      <c r="P8" s="200">
        <f>+O8/O9</f>
        <v>1</v>
      </c>
      <c r="Q8" s="198"/>
      <c r="R8" s="84">
        <v>124</v>
      </c>
      <c r="S8" s="200">
        <f>+R8/R9</f>
        <v>1</v>
      </c>
      <c r="T8" s="198"/>
      <c r="U8" s="84">
        <f t="shared" si="0"/>
        <v>784</v>
      </c>
      <c r="V8" s="84">
        <v>113</v>
      </c>
      <c r="W8" s="205">
        <f>V8/V9</f>
        <v>0.94166666666666665</v>
      </c>
      <c r="X8" s="198"/>
      <c r="Y8" s="84">
        <v>59</v>
      </c>
      <c r="Z8" s="205">
        <f>Y8/Y9</f>
        <v>0.38311688311688313</v>
      </c>
      <c r="AA8" s="198"/>
      <c r="AB8" s="84">
        <v>3</v>
      </c>
      <c r="AC8" s="205">
        <f>AB8/AB9</f>
        <v>2.2900763358778626E-2</v>
      </c>
      <c r="AD8" s="198"/>
      <c r="AE8" s="84">
        <v>133</v>
      </c>
      <c r="AF8" s="205">
        <f>AE8/AE9</f>
        <v>0.9779411764705882</v>
      </c>
      <c r="AG8" s="198" t="s">
        <v>287</v>
      </c>
      <c r="AH8" s="84">
        <v>181</v>
      </c>
      <c r="AI8" s="205">
        <f>AH8/AH9</f>
        <v>1</v>
      </c>
      <c r="AJ8" s="198" t="s">
        <v>302</v>
      </c>
      <c r="AK8" s="84">
        <v>142</v>
      </c>
      <c r="AL8" s="205">
        <f>AK8/AK9</f>
        <v>1</v>
      </c>
      <c r="AM8" s="198" t="s">
        <v>302</v>
      </c>
      <c r="AN8" s="84">
        <f t="shared" si="1"/>
        <v>631</v>
      </c>
      <c r="AO8" s="202">
        <f t="shared" ref="AO8" si="4">+AN8/AN9</f>
        <v>0.73032407407407407</v>
      </c>
    </row>
    <row r="9" spans="1:42" ht="35.25" customHeight="1" x14ac:dyDescent="0.25">
      <c r="A9" s="195"/>
      <c r="B9" s="85" t="s">
        <v>21</v>
      </c>
      <c r="C9" s="84">
        <v>148</v>
      </c>
      <c r="D9" s="201"/>
      <c r="E9" s="199"/>
      <c r="F9" s="84">
        <v>132</v>
      </c>
      <c r="G9" s="201"/>
      <c r="H9" s="199"/>
      <c r="I9" s="84">
        <v>156</v>
      </c>
      <c r="J9" s="201"/>
      <c r="K9" s="199"/>
      <c r="L9" s="84">
        <v>111</v>
      </c>
      <c r="M9" s="201"/>
      <c r="N9" s="199"/>
      <c r="O9" s="84">
        <v>113</v>
      </c>
      <c r="P9" s="201"/>
      <c r="Q9" s="199"/>
      <c r="R9" s="84">
        <v>124</v>
      </c>
      <c r="S9" s="201"/>
      <c r="T9" s="199"/>
      <c r="U9" s="84">
        <f t="shared" si="0"/>
        <v>784</v>
      </c>
      <c r="V9" s="84">
        <v>120</v>
      </c>
      <c r="W9" s="206"/>
      <c r="X9" s="199"/>
      <c r="Y9" s="84">
        <v>154</v>
      </c>
      <c r="Z9" s="206"/>
      <c r="AA9" s="199"/>
      <c r="AB9" s="84">
        <v>131</v>
      </c>
      <c r="AC9" s="206"/>
      <c r="AD9" s="199"/>
      <c r="AE9" s="84">
        <v>136</v>
      </c>
      <c r="AF9" s="206"/>
      <c r="AG9" s="199"/>
      <c r="AH9" s="84">
        <v>181</v>
      </c>
      <c r="AI9" s="206"/>
      <c r="AJ9" s="199"/>
      <c r="AK9" s="84">
        <v>142</v>
      </c>
      <c r="AL9" s="206"/>
      <c r="AM9" s="199"/>
      <c r="AN9" s="84">
        <f t="shared" si="1"/>
        <v>864</v>
      </c>
      <c r="AO9" s="202"/>
    </row>
    <row r="10" spans="1:42" ht="35.25" customHeight="1" x14ac:dyDescent="0.25">
      <c r="A10" s="195" t="s">
        <v>22</v>
      </c>
      <c r="B10" s="85" t="s">
        <v>23</v>
      </c>
      <c r="C10" s="84">
        <v>0</v>
      </c>
      <c r="D10" s="200">
        <f>+C10/C11</f>
        <v>0</v>
      </c>
      <c r="E10" s="198" t="s">
        <v>210</v>
      </c>
      <c r="F10" s="84">
        <v>0</v>
      </c>
      <c r="G10" s="200">
        <f>+F10/F11</f>
        <v>0</v>
      </c>
      <c r="H10" s="198">
        <v>3</v>
      </c>
      <c r="I10" s="84">
        <v>1</v>
      </c>
      <c r="J10" s="200">
        <f>+I10/I11</f>
        <v>3.3333333333333333E-2</v>
      </c>
      <c r="K10" s="198"/>
      <c r="L10" s="84">
        <v>0</v>
      </c>
      <c r="M10" s="200">
        <f>+L10/L11</f>
        <v>0</v>
      </c>
      <c r="N10" s="198"/>
      <c r="O10" s="84">
        <v>5</v>
      </c>
      <c r="P10" s="200">
        <f>+O10/O11</f>
        <v>0.14285714285714285</v>
      </c>
      <c r="Q10" s="198"/>
      <c r="R10" s="84">
        <v>0</v>
      </c>
      <c r="S10" s="200">
        <f>+R10/R11</f>
        <v>0</v>
      </c>
      <c r="T10" s="198"/>
      <c r="U10" s="84">
        <f t="shared" si="0"/>
        <v>6</v>
      </c>
      <c r="V10" s="84">
        <v>0</v>
      </c>
      <c r="W10" s="198">
        <v>0</v>
      </c>
      <c r="X10" s="198" t="s">
        <v>224</v>
      </c>
      <c r="Y10" s="84">
        <v>0</v>
      </c>
      <c r="Z10" s="198">
        <v>0</v>
      </c>
      <c r="AA10" s="198" t="s">
        <v>224</v>
      </c>
      <c r="AB10" s="84">
        <v>0</v>
      </c>
      <c r="AC10" s="198">
        <v>0</v>
      </c>
      <c r="AD10" s="198" t="s">
        <v>255</v>
      </c>
      <c r="AE10" s="84">
        <v>0</v>
      </c>
      <c r="AF10" s="198">
        <v>0</v>
      </c>
      <c r="AG10" s="198" t="s">
        <v>267</v>
      </c>
      <c r="AH10" s="84">
        <v>0</v>
      </c>
      <c r="AI10" s="198">
        <v>0</v>
      </c>
      <c r="AJ10" s="198" t="s">
        <v>289</v>
      </c>
      <c r="AK10" s="84">
        <v>0</v>
      </c>
      <c r="AL10" s="198">
        <v>0</v>
      </c>
      <c r="AM10" s="198" t="s">
        <v>224</v>
      </c>
      <c r="AN10" s="84">
        <f t="shared" si="1"/>
        <v>0</v>
      </c>
      <c r="AO10" s="202">
        <f t="shared" ref="AO10" si="5">+AN10/AN11</f>
        <v>0</v>
      </c>
    </row>
    <row r="11" spans="1:42" ht="35.25" customHeight="1" x14ac:dyDescent="0.25">
      <c r="A11" s="195"/>
      <c r="B11" s="85" t="s">
        <v>24</v>
      </c>
      <c r="C11" s="84">
        <v>28</v>
      </c>
      <c r="D11" s="201"/>
      <c r="E11" s="199"/>
      <c r="F11" s="84">
        <v>36</v>
      </c>
      <c r="G11" s="201"/>
      <c r="H11" s="199"/>
      <c r="I11" s="84">
        <v>30</v>
      </c>
      <c r="J11" s="201"/>
      <c r="K11" s="199"/>
      <c r="L11" s="84">
        <v>26</v>
      </c>
      <c r="M11" s="201"/>
      <c r="N11" s="199"/>
      <c r="O11" s="84">
        <v>35</v>
      </c>
      <c r="P11" s="201"/>
      <c r="Q11" s="199"/>
      <c r="R11" s="84">
        <v>40</v>
      </c>
      <c r="S11" s="201"/>
      <c r="T11" s="199"/>
      <c r="U11" s="84">
        <f t="shared" si="0"/>
        <v>195</v>
      </c>
      <c r="V11" s="84">
        <v>28</v>
      </c>
      <c r="W11" s="199"/>
      <c r="X11" s="199"/>
      <c r="Y11" s="84">
        <v>37</v>
      </c>
      <c r="Z11" s="199"/>
      <c r="AA11" s="199"/>
      <c r="AB11" s="84">
        <v>46</v>
      </c>
      <c r="AC11" s="199"/>
      <c r="AD11" s="199"/>
      <c r="AE11" s="84">
        <v>45</v>
      </c>
      <c r="AF11" s="199"/>
      <c r="AG11" s="199"/>
      <c r="AH11" s="84">
        <v>35</v>
      </c>
      <c r="AI11" s="199"/>
      <c r="AJ11" s="199"/>
      <c r="AK11" s="84">
        <v>30</v>
      </c>
      <c r="AL11" s="199"/>
      <c r="AM11" s="199"/>
      <c r="AN11" s="84">
        <f t="shared" si="1"/>
        <v>221</v>
      </c>
      <c r="AO11" s="202"/>
    </row>
    <row r="12" spans="1:42" ht="35.25" customHeight="1" x14ac:dyDescent="0.25">
      <c r="A12" s="195" t="s">
        <v>26</v>
      </c>
      <c r="B12" s="85" t="s">
        <v>27</v>
      </c>
      <c r="C12" s="84">
        <v>0</v>
      </c>
      <c r="D12" s="200">
        <f>+C12/C13</f>
        <v>0</v>
      </c>
      <c r="E12" s="198" t="s">
        <v>211</v>
      </c>
      <c r="F12" s="84">
        <v>0</v>
      </c>
      <c r="G12" s="200">
        <f>+F12/F13</f>
        <v>0</v>
      </c>
      <c r="H12" s="198" t="s">
        <v>211</v>
      </c>
      <c r="I12" s="84">
        <v>0</v>
      </c>
      <c r="J12" s="200">
        <f>+I12/I13</f>
        <v>0</v>
      </c>
      <c r="K12" s="198" t="s">
        <v>211</v>
      </c>
      <c r="L12" s="84">
        <v>0</v>
      </c>
      <c r="M12" s="200">
        <f>+L12/L13</f>
        <v>0</v>
      </c>
      <c r="N12" s="198" t="s">
        <v>211</v>
      </c>
      <c r="O12" s="84">
        <v>0</v>
      </c>
      <c r="P12" s="200">
        <f>+O12/O13</f>
        <v>0</v>
      </c>
      <c r="Q12" s="198" t="s">
        <v>211</v>
      </c>
      <c r="R12" s="84">
        <v>0</v>
      </c>
      <c r="S12" s="200">
        <f>+R12/R13</f>
        <v>0</v>
      </c>
      <c r="T12" s="198" t="s">
        <v>211</v>
      </c>
      <c r="U12" s="84">
        <f t="shared" si="0"/>
        <v>0</v>
      </c>
      <c r="V12" s="84">
        <v>0</v>
      </c>
      <c r="W12" s="198">
        <v>0</v>
      </c>
      <c r="X12" s="198" t="s">
        <v>225</v>
      </c>
      <c r="Y12" s="84">
        <v>0</v>
      </c>
      <c r="Z12" s="198">
        <v>0</v>
      </c>
      <c r="AA12" s="198" t="s">
        <v>225</v>
      </c>
      <c r="AB12" s="84">
        <v>0</v>
      </c>
      <c r="AC12" s="198">
        <v>0</v>
      </c>
      <c r="AD12" s="198" t="s">
        <v>256</v>
      </c>
      <c r="AE12" s="84">
        <v>0</v>
      </c>
      <c r="AF12" s="198">
        <v>0</v>
      </c>
      <c r="AG12" s="198" t="s">
        <v>268</v>
      </c>
      <c r="AH12" s="84">
        <v>0</v>
      </c>
      <c r="AI12" s="198">
        <v>0</v>
      </c>
      <c r="AJ12" s="198" t="s">
        <v>290</v>
      </c>
      <c r="AK12" s="84">
        <v>0</v>
      </c>
      <c r="AL12" s="198">
        <v>0</v>
      </c>
      <c r="AM12" s="198" t="s">
        <v>225</v>
      </c>
      <c r="AN12" s="84">
        <f t="shared" si="1"/>
        <v>0</v>
      </c>
      <c r="AO12" s="202">
        <f t="shared" ref="AO12" si="6">+AN12/AN13</f>
        <v>0</v>
      </c>
    </row>
    <row r="13" spans="1:42" ht="35.25" customHeight="1" x14ac:dyDescent="0.25">
      <c r="A13" s="195"/>
      <c r="B13" s="85" t="s">
        <v>28</v>
      </c>
      <c r="C13" s="84">
        <v>33</v>
      </c>
      <c r="D13" s="201"/>
      <c r="E13" s="199"/>
      <c r="F13" s="84">
        <v>39</v>
      </c>
      <c r="G13" s="201"/>
      <c r="H13" s="199"/>
      <c r="I13" s="84">
        <v>38</v>
      </c>
      <c r="J13" s="201"/>
      <c r="K13" s="199"/>
      <c r="L13" s="84">
        <v>31</v>
      </c>
      <c r="M13" s="201"/>
      <c r="N13" s="199"/>
      <c r="O13" s="84">
        <v>41</v>
      </c>
      <c r="P13" s="201"/>
      <c r="Q13" s="199"/>
      <c r="R13" s="84">
        <v>47</v>
      </c>
      <c r="S13" s="201"/>
      <c r="T13" s="199"/>
      <c r="U13" s="84">
        <f t="shared" si="0"/>
        <v>229</v>
      </c>
      <c r="V13" s="84">
        <v>47</v>
      </c>
      <c r="W13" s="199"/>
      <c r="X13" s="199"/>
      <c r="Y13" s="84">
        <v>52</v>
      </c>
      <c r="Z13" s="199"/>
      <c r="AA13" s="199"/>
      <c r="AB13" s="84"/>
      <c r="AC13" s="199"/>
      <c r="AD13" s="199"/>
      <c r="AE13" s="84">
        <v>60</v>
      </c>
      <c r="AF13" s="199"/>
      <c r="AG13" s="199"/>
      <c r="AH13" s="84">
        <v>49</v>
      </c>
      <c r="AI13" s="199"/>
      <c r="AJ13" s="199"/>
      <c r="AK13" s="84">
        <v>45</v>
      </c>
      <c r="AL13" s="199"/>
      <c r="AM13" s="199"/>
      <c r="AN13" s="84">
        <f t="shared" si="1"/>
        <v>253</v>
      </c>
      <c r="AO13" s="202"/>
    </row>
    <row r="14" spans="1:42" ht="35.25" customHeight="1" x14ac:dyDescent="0.25">
      <c r="A14" s="195" t="s">
        <v>30</v>
      </c>
      <c r="B14" s="85" t="s">
        <v>31</v>
      </c>
      <c r="C14" s="84">
        <v>0</v>
      </c>
      <c r="D14" s="200" t="e">
        <f>+C14/C15</f>
        <v>#DIV/0!</v>
      </c>
      <c r="E14" s="198" t="s">
        <v>212</v>
      </c>
      <c r="F14" s="84"/>
      <c r="G14" s="200" t="e">
        <f>+F14/F15</f>
        <v>#DIV/0!</v>
      </c>
      <c r="H14" s="198" t="s">
        <v>212</v>
      </c>
      <c r="I14" s="84">
        <v>0</v>
      </c>
      <c r="J14" s="200" t="e">
        <f>+I14/I15</f>
        <v>#DIV/0!</v>
      </c>
      <c r="K14" s="198" t="s">
        <v>212</v>
      </c>
      <c r="L14" s="84">
        <v>0</v>
      </c>
      <c r="M14" s="200">
        <f>+L14/L15</f>
        <v>0</v>
      </c>
      <c r="N14" s="198" t="s">
        <v>212</v>
      </c>
      <c r="O14" s="84">
        <v>0</v>
      </c>
      <c r="P14" s="200" t="e">
        <f>+O14/O15</f>
        <v>#DIV/0!</v>
      </c>
      <c r="Q14" s="198" t="s">
        <v>212</v>
      </c>
      <c r="R14" s="84">
        <v>0</v>
      </c>
      <c r="S14" s="200" t="e">
        <f>+R14/R15</f>
        <v>#DIV/0!</v>
      </c>
      <c r="T14" s="198" t="s">
        <v>212</v>
      </c>
      <c r="U14" s="84">
        <f t="shared" si="0"/>
        <v>0</v>
      </c>
      <c r="V14" s="84">
        <v>0</v>
      </c>
      <c r="W14" s="198">
        <v>0</v>
      </c>
      <c r="X14" s="84" t="s">
        <v>225</v>
      </c>
      <c r="Y14" s="84">
        <v>0</v>
      </c>
      <c r="Z14" s="198">
        <v>0</v>
      </c>
      <c r="AA14" s="84" t="s">
        <v>225</v>
      </c>
      <c r="AB14" s="84">
        <v>0</v>
      </c>
      <c r="AC14" s="198">
        <v>0</v>
      </c>
      <c r="AD14" s="84" t="s">
        <v>225</v>
      </c>
      <c r="AE14" s="84">
        <v>0</v>
      </c>
      <c r="AF14" s="198">
        <v>0</v>
      </c>
      <c r="AG14" s="84" t="s">
        <v>225</v>
      </c>
      <c r="AH14" s="84">
        <v>0</v>
      </c>
      <c r="AI14" s="198">
        <v>0</v>
      </c>
      <c r="AJ14" s="84" t="s">
        <v>225</v>
      </c>
      <c r="AK14" s="84">
        <v>0</v>
      </c>
      <c r="AL14" s="198">
        <v>0</v>
      </c>
      <c r="AM14" s="84" t="s">
        <v>225</v>
      </c>
      <c r="AN14" s="84">
        <f t="shared" si="1"/>
        <v>0</v>
      </c>
      <c r="AO14" s="202" t="e">
        <f t="shared" ref="AO14" si="7">+AN14/AN15</f>
        <v>#DIV/0!</v>
      </c>
    </row>
    <row r="15" spans="1:42" ht="35.25" customHeight="1" x14ac:dyDescent="0.25">
      <c r="A15" s="195"/>
      <c r="B15" s="85" t="s">
        <v>32</v>
      </c>
      <c r="C15" s="84">
        <v>0</v>
      </c>
      <c r="D15" s="201"/>
      <c r="E15" s="199"/>
      <c r="F15" s="84"/>
      <c r="G15" s="201"/>
      <c r="H15" s="199"/>
      <c r="I15" s="84">
        <v>0</v>
      </c>
      <c r="J15" s="201"/>
      <c r="K15" s="199"/>
      <c r="L15" s="84">
        <v>4</v>
      </c>
      <c r="M15" s="201"/>
      <c r="N15" s="199"/>
      <c r="O15" s="84">
        <v>0</v>
      </c>
      <c r="P15" s="201"/>
      <c r="Q15" s="199"/>
      <c r="R15" s="84">
        <v>0</v>
      </c>
      <c r="S15" s="201"/>
      <c r="T15" s="199"/>
      <c r="U15" s="84">
        <f t="shared" si="0"/>
        <v>4</v>
      </c>
      <c r="V15" s="84">
        <v>0</v>
      </c>
      <c r="W15" s="199"/>
      <c r="X15" s="84" t="s">
        <v>226</v>
      </c>
      <c r="Y15" s="84">
        <v>0</v>
      </c>
      <c r="Z15" s="199"/>
      <c r="AA15" s="84" t="s">
        <v>226</v>
      </c>
      <c r="AB15" s="84">
        <v>0</v>
      </c>
      <c r="AC15" s="199"/>
      <c r="AD15" s="84" t="s">
        <v>226</v>
      </c>
      <c r="AE15" s="84">
        <v>0</v>
      </c>
      <c r="AF15" s="199"/>
      <c r="AG15" s="84" t="s">
        <v>226</v>
      </c>
      <c r="AH15" s="84">
        <v>0</v>
      </c>
      <c r="AI15" s="199"/>
      <c r="AJ15" s="84" t="s">
        <v>226</v>
      </c>
      <c r="AK15" s="84">
        <v>0</v>
      </c>
      <c r="AL15" s="199"/>
      <c r="AM15" s="84" t="s">
        <v>226</v>
      </c>
      <c r="AN15" s="84">
        <f t="shared" si="1"/>
        <v>0</v>
      </c>
      <c r="AO15" s="202"/>
    </row>
    <row r="16" spans="1:42" ht="35.25" customHeight="1" x14ac:dyDescent="0.25">
      <c r="A16" s="195" t="s">
        <v>33</v>
      </c>
      <c r="B16" s="85" t="s">
        <v>34</v>
      </c>
      <c r="C16" s="84">
        <v>151</v>
      </c>
      <c r="D16" s="200">
        <f>+C16/C17</f>
        <v>1</v>
      </c>
      <c r="E16" s="198"/>
      <c r="F16" s="84">
        <v>132</v>
      </c>
      <c r="G16" s="200">
        <f>+F16/F17</f>
        <v>1</v>
      </c>
      <c r="H16" s="198"/>
      <c r="I16" s="84">
        <v>157</v>
      </c>
      <c r="J16" s="200">
        <f>+I16/I17</f>
        <v>1</v>
      </c>
      <c r="K16" s="198"/>
      <c r="L16" s="84">
        <v>115</v>
      </c>
      <c r="M16" s="200">
        <f>+L16/L17</f>
        <v>1</v>
      </c>
      <c r="N16" s="198"/>
      <c r="O16" s="84">
        <v>111</v>
      </c>
      <c r="P16" s="200">
        <f>+O16/O17</f>
        <v>1</v>
      </c>
      <c r="Q16" s="198"/>
      <c r="R16" s="84">
        <v>124</v>
      </c>
      <c r="S16" s="200">
        <f>+R16/R17</f>
        <v>1</v>
      </c>
      <c r="T16" s="198"/>
      <c r="U16" s="84">
        <f t="shared" si="0"/>
        <v>790</v>
      </c>
      <c r="V16" s="84">
        <v>120</v>
      </c>
      <c r="W16" s="198">
        <v>0</v>
      </c>
      <c r="X16" s="198" t="s">
        <v>237</v>
      </c>
      <c r="Y16" s="84">
        <v>158</v>
      </c>
      <c r="Z16" s="198">
        <v>0</v>
      </c>
      <c r="AA16" s="198" t="s">
        <v>237</v>
      </c>
      <c r="AB16" s="84">
        <v>134</v>
      </c>
      <c r="AC16" s="198">
        <v>0</v>
      </c>
      <c r="AD16" s="198" t="s">
        <v>237</v>
      </c>
      <c r="AE16" s="84">
        <v>140</v>
      </c>
      <c r="AF16" s="198">
        <v>0</v>
      </c>
      <c r="AG16" s="198" t="s">
        <v>269</v>
      </c>
      <c r="AH16" s="84">
        <v>179</v>
      </c>
      <c r="AI16" s="198">
        <v>0</v>
      </c>
      <c r="AJ16" s="198" t="s">
        <v>303</v>
      </c>
      <c r="AK16" s="84">
        <v>147</v>
      </c>
      <c r="AL16" s="198">
        <v>0</v>
      </c>
      <c r="AM16" s="198" t="s">
        <v>303</v>
      </c>
      <c r="AN16" s="84">
        <f t="shared" si="1"/>
        <v>878</v>
      </c>
      <c r="AO16" s="202">
        <f t="shared" ref="AO16" si="8">+AN16/AN17</f>
        <v>1</v>
      </c>
    </row>
    <row r="17" spans="1:42" ht="35.25" customHeight="1" x14ac:dyDescent="0.25">
      <c r="A17" s="195"/>
      <c r="B17" s="85" t="s">
        <v>9</v>
      </c>
      <c r="C17" s="84">
        <v>151</v>
      </c>
      <c r="D17" s="201"/>
      <c r="E17" s="199"/>
      <c r="F17" s="84">
        <v>132</v>
      </c>
      <c r="G17" s="201"/>
      <c r="H17" s="199"/>
      <c r="I17" s="84">
        <v>157</v>
      </c>
      <c r="J17" s="201"/>
      <c r="K17" s="199"/>
      <c r="L17" s="84">
        <v>115</v>
      </c>
      <c r="M17" s="201"/>
      <c r="N17" s="199"/>
      <c r="O17" s="84">
        <v>111</v>
      </c>
      <c r="P17" s="201"/>
      <c r="Q17" s="199"/>
      <c r="R17" s="84">
        <v>124</v>
      </c>
      <c r="S17" s="201"/>
      <c r="T17" s="199"/>
      <c r="U17" s="84">
        <f t="shared" si="0"/>
        <v>790</v>
      </c>
      <c r="V17" s="84">
        <v>120</v>
      </c>
      <c r="W17" s="199"/>
      <c r="X17" s="199"/>
      <c r="Y17" s="84">
        <v>158</v>
      </c>
      <c r="Z17" s="199"/>
      <c r="AA17" s="199"/>
      <c r="AB17" s="84">
        <v>134</v>
      </c>
      <c r="AC17" s="199"/>
      <c r="AD17" s="199"/>
      <c r="AE17" s="84">
        <v>140</v>
      </c>
      <c r="AF17" s="199"/>
      <c r="AG17" s="199"/>
      <c r="AH17" s="84">
        <v>179</v>
      </c>
      <c r="AI17" s="199"/>
      <c r="AJ17" s="199"/>
      <c r="AK17" s="84">
        <v>147</v>
      </c>
      <c r="AL17" s="199"/>
      <c r="AM17" s="199"/>
      <c r="AN17" s="84">
        <f t="shared" si="1"/>
        <v>878</v>
      </c>
      <c r="AO17" s="202"/>
    </row>
    <row r="18" spans="1:42" ht="35.25" customHeight="1" x14ac:dyDescent="0.25">
      <c r="A18" s="195" t="s">
        <v>35</v>
      </c>
      <c r="B18" s="85" t="s">
        <v>36</v>
      </c>
      <c r="C18" s="84">
        <v>0</v>
      </c>
      <c r="D18" s="200">
        <v>0</v>
      </c>
      <c r="E18" s="198" t="s">
        <v>213</v>
      </c>
      <c r="F18" s="84">
        <v>0</v>
      </c>
      <c r="G18" s="200">
        <v>0</v>
      </c>
      <c r="H18" s="198" t="s">
        <v>213</v>
      </c>
      <c r="I18" s="84">
        <v>0</v>
      </c>
      <c r="J18" s="200">
        <v>0</v>
      </c>
      <c r="K18" s="198" t="s">
        <v>213</v>
      </c>
      <c r="L18" s="84">
        <v>0</v>
      </c>
      <c r="M18" s="200">
        <v>0</v>
      </c>
      <c r="N18" s="198" t="s">
        <v>213</v>
      </c>
      <c r="O18" s="84">
        <v>0</v>
      </c>
      <c r="P18" s="200">
        <v>0</v>
      </c>
      <c r="Q18" s="198" t="s">
        <v>213</v>
      </c>
      <c r="R18" s="84">
        <v>0</v>
      </c>
      <c r="S18" s="200">
        <v>0</v>
      </c>
      <c r="T18" s="198" t="s">
        <v>213</v>
      </c>
      <c r="U18" s="84">
        <f t="shared" si="0"/>
        <v>0</v>
      </c>
      <c r="V18" s="84">
        <v>0</v>
      </c>
      <c r="W18" s="198">
        <v>0</v>
      </c>
      <c r="X18" s="84" t="s">
        <v>226</v>
      </c>
      <c r="Y18" s="84">
        <v>0</v>
      </c>
      <c r="Z18" s="198">
        <v>0</v>
      </c>
      <c r="AA18" s="84" t="s">
        <v>226</v>
      </c>
      <c r="AB18" s="84">
        <v>0</v>
      </c>
      <c r="AC18" s="198">
        <v>0</v>
      </c>
      <c r="AD18" s="84" t="s">
        <v>226</v>
      </c>
      <c r="AE18" s="84">
        <v>0</v>
      </c>
      <c r="AF18" s="198">
        <v>0</v>
      </c>
      <c r="AG18" s="84" t="s">
        <v>270</v>
      </c>
      <c r="AH18" s="84">
        <v>0</v>
      </c>
      <c r="AI18" s="198">
        <v>0</v>
      </c>
      <c r="AJ18" s="84" t="s">
        <v>270</v>
      </c>
      <c r="AK18" s="84">
        <v>0</v>
      </c>
      <c r="AL18" s="198">
        <v>0</v>
      </c>
      <c r="AM18" s="84" t="s">
        <v>270</v>
      </c>
      <c r="AN18" s="84">
        <f t="shared" si="1"/>
        <v>0</v>
      </c>
      <c r="AO18" s="202" t="e">
        <f t="shared" ref="AO18" si="9">+AN18/AN19</f>
        <v>#DIV/0!</v>
      </c>
    </row>
    <row r="19" spans="1:42" ht="35.25" customHeight="1" x14ac:dyDescent="0.25">
      <c r="A19" s="195"/>
      <c r="B19" s="85" t="s">
        <v>37</v>
      </c>
      <c r="C19" s="84">
        <v>0</v>
      </c>
      <c r="D19" s="201"/>
      <c r="E19" s="199"/>
      <c r="F19" s="84">
        <v>0</v>
      </c>
      <c r="G19" s="201"/>
      <c r="H19" s="199"/>
      <c r="I19" s="84">
        <v>0</v>
      </c>
      <c r="J19" s="201"/>
      <c r="K19" s="199"/>
      <c r="L19" s="84">
        <v>0</v>
      </c>
      <c r="M19" s="201"/>
      <c r="N19" s="199"/>
      <c r="O19" s="84">
        <v>0</v>
      </c>
      <c r="P19" s="201"/>
      <c r="Q19" s="199"/>
      <c r="R19" s="84">
        <v>0</v>
      </c>
      <c r="S19" s="201"/>
      <c r="T19" s="199"/>
      <c r="U19" s="84">
        <f t="shared" si="0"/>
        <v>0</v>
      </c>
      <c r="V19" s="84">
        <v>0</v>
      </c>
      <c r="W19" s="199"/>
      <c r="X19" s="84" t="s">
        <v>226</v>
      </c>
      <c r="Y19" s="84">
        <v>0</v>
      </c>
      <c r="Z19" s="199"/>
      <c r="AA19" s="84" t="s">
        <v>226</v>
      </c>
      <c r="AB19" s="84">
        <v>0</v>
      </c>
      <c r="AC19" s="199"/>
      <c r="AD19" s="84" t="s">
        <v>226</v>
      </c>
      <c r="AE19" s="84">
        <v>0</v>
      </c>
      <c r="AF19" s="199"/>
      <c r="AG19" s="84" t="s">
        <v>270</v>
      </c>
      <c r="AH19" s="84">
        <v>0</v>
      </c>
      <c r="AI19" s="199"/>
      <c r="AJ19" s="84" t="s">
        <v>270</v>
      </c>
      <c r="AK19" s="84">
        <v>0</v>
      </c>
      <c r="AL19" s="199"/>
      <c r="AM19" s="84" t="s">
        <v>270</v>
      </c>
      <c r="AN19" s="84">
        <f t="shared" si="1"/>
        <v>0</v>
      </c>
      <c r="AO19" s="202"/>
    </row>
    <row r="20" spans="1:42" ht="35.25" customHeight="1" x14ac:dyDescent="0.25">
      <c r="A20" s="195" t="s">
        <v>38</v>
      </c>
      <c r="B20" s="85" t="s">
        <v>39</v>
      </c>
      <c r="C20" s="84" t="s">
        <v>47</v>
      </c>
      <c r="D20" s="200" t="s">
        <v>47</v>
      </c>
      <c r="E20" s="198"/>
      <c r="F20" s="84"/>
      <c r="G20" s="200" t="s">
        <v>47</v>
      </c>
      <c r="H20" s="198"/>
      <c r="I20" s="84"/>
      <c r="J20" s="200" t="s">
        <v>47</v>
      </c>
      <c r="K20" s="198"/>
      <c r="L20" s="84"/>
      <c r="M20" s="200" t="s">
        <v>47</v>
      </c>
      <c r="N20" s="198"/>
      <c r="O20" s="84"/>
      <c r="P20" s="200" t="s">
        <v>47</v>
      </c>
      <c r="Q20" s="198"/>
      <c r="R20" s="84"/>
      <c r="S20" s="200" t="s">
        <v>47</v>
      </c>
      <c r="T20" s="198"/>
      <c r="U20" s="84" t="e">
        <f t="shared" si="0"/>
        <v>#VALUE!</v>
      </c>
      <c r="V20" s="84"/>
      <c r="W20" s="198"/>
      <c r="X20" s="93"/>
      <c r="Y20" s="84"/>
      <c r="Z20" s="198"/>
      <c r="AA20" s="93"/>
      <c r="AB20" s="84"/>
      <c r="AC20" s="198"/>
      <c r="AD20" s="93"/>
      <c r="AE20" s="84"/>
      <c r="AF20" s="198"/>
      <c r="AG20" s="93"/>
      <c r="AH20" s="84"/>
      <c r="AI20" s="198"/>
      <c r="AJ20" s="93"/>
      <c r="AK20" s="84"/>
      <c r="AL20" s="198"/>
      <c r="AM20" s="93"/>
      <c r="AN20" s="84">
        <f t="shared" si="1"/>
        <v>0</v>
      </c>
      <c r="AO20" s="202" t="e">
        <f t="shared" ref="AO20" si="10">+AN20/AN21</f>
        <v>#DIV/0!</v>
      </c>
    </row>
    <row r="21" spans="1:42" ht="35.25" customHeight="1" x14ac:dyDescent="0.25">
      <c r="A21" s="195"/>
      <c r="B21" s="85" t="s">
        <v>40</v>
      </c>
      <c r="C21" s="84" t="s">
        <v>47</v>
      </c>
      <c r="D21" s="201"/>
      <c r="E21" s="199"/>
      <c r="F21" s="84"/>
      <c r="G21" s="201"/>
      <c r="H21" s="199"/>
      <c r="I21" s="84"/>
      <c r="J21" s="201"/>
      <c r="K21" s="199"/>
      <c r="L21" s="84"/>
      <c r="M21" s="201"/>
      <c r="N21" s="199"/>
      <c r="O21" s="84"/>
      <c r="P21" s="201"/>
      <c r="Q21" s="199"/>
      <c r="R21" s="84"/>
      <c r="S21" s="201"/>
      <c r="T21" s="199"/>
      <c r="U21" s="84" t="e">
        <f t="shared" si="0"/>
        <v>#VALUE!</v>
      </c>
      <c r="V21" s="84"/>
      <c r="W21" s="199"/>
      <c r="X21" s="93"/>
      <c r="Y21" s="84"/>
      <c r="Z21" s="199"/>
      <c r="AA21" s="93"/>
      <c r="AB21" s="84"/>
      <c r="AC21" s="199"/>
      <c r="AD21" s="93"/>
      <c r="AE21" s="84"/>
      <c r="AF21" s="199"/>
      <c r="AG21" s="93"/>
      <c r="AH21" s="84"/>
      <c r="AI21" s="199"/>
      <c r="AJ21" s="93"/>
      <c r="AK21" s="84"/>
      <c r="AL21" s="199"/>
      <c r="AM21" s="93"/>
      <c r="AN21" s="84">
        <f t="shared" si="1"/>
        <v>0</v>
      </c>
      <c r="AO21" s="202"/>
    </row>
    <row r="22" spans="1:42" ht="35.25" customHeight="1" x14ac:dyDescent="0.25">
      <c r="A22" s="195" t="s">
        <v>42</v>
      </c>
      <c r="B22" s="85" t="s">
        <v>43</v>
      </c>
      <c r="C22" s="84">
        <v>0</v>
      </c>
      <c r="D22" s="200" t="e">
        <f>C22/C23</f>
        <v>#DIV/0!</v>
      </c>
      <c r="E22" s="198" t="s">
        <v>213</v>
      </c>
      <c r="F22" s="84">
        <v>1</v>
      </c>
      <c r="G22" s="200">
        <f>F22/F23</f>
        <v>1</v>
      </c>
      <c r="H22" s="198"/>
      <c r="I22" s="84">
        <v>0</v>
      </c>
      <c r="J22" s="200" t="e">
        <f>I22/I23</f>
        <v>#DIV/0!</v>
      </c>
      <c r="K22" s="198" t="s">
        <v>213</v>
      </c>
      <c r="L22" s="84">
        <v>0</v>
      </c>
      <c r="M22" s="200" t="e">
        <f>L22/L23</f>
        <v>#DIV/0!</v>
      </c>
      <c r="N22" s="198" t="s">
        <v>213</v>
      </c>
      <c r="O22" s="84">
        <v>0</v>
      </c>
      <c r="P22" s="200">
        <f>O22/O23</f>
        <v>0</v>
      </c>
      <c r="Q22" s="198" t="s">
        <v>220</v>
      </c>
      <c r="R22" s="84">
        <v>2</v>
      </c>
      <c r="S22" s="200">
        <f>R22/R23</f>
        <v>1</v>
      </c>
      <c r="T22" s="198"/>
      <c r="U22" s="84">
        <f t="shared" si="0"/>
        <v>3</v>
      </c>
      <c r="V22" s="84">
        <v>0</v>
      </c>
      <c r="W22" s="213">
        <f>V22/V23</f>
        <v>0</v>
      </c>
      <c r="X22" s="198" t="s">
        <v>251</v>
      </c>
      <c r="Y22" s="84">
        <v>1</v>
      </c>
      <c r="Z22" s="196">
        <f>Y22/Y23</f>
        <v>0.33333333333333331</v>
      </c>
      <c r="AA22" s="198" t="s">
        <v>250</v>
      </c>
      <c r="AB22" s="84">
        <v>1</v>
      </c>
      <c r="AC22" s="196">
        <f>AB22/AB23</f>
        <v>1</v>
      </c>
      <c r="AD22" s="198"/>
      <c r="AE22" s="84">
        <v>0</v>
      </c>
      <c r="AF22" s="213">
        <f>AE22/AE23</f>
        <v>0</v>
      </c>
      <c r="AG22" s="198" t="s">
        <v>279</v>
      </c>
      <c r="AH22" s="84">
        <v>0</v>
      </c>
      <c r="AI22" s="213">
        <v>0</v>
      </c>
      <c r="AJ22" s="198" t="s">
        <v>292</v>
      </c>
      <c r="AK22" s="84">
        <v>0</v>
      </c>
      <c r="AL22" s="205">
        <f>AK22/AK23</f>
        <v>0</v>
      </c>
      <c r="AM22" s="198" t="s">
        <v>291</v>
      </c>
      <c r="AN22" s="84">
        <f t="shared" si="1"/>
        <v>2</v>
      </c>
      <c r="AO22" s="202">
        <f t="shared" ref="AO22" si="11">+AN22/AN23</f>
        <v>0.2857142857142857</v>
      </c>
    </row>
    <row r="23" spans="1:42" ht="35.25" customHeight="1" x14ac:dyDescent="0.25">
      <c r="A23" s="195"/>
      <c r="B23" s="85" t="s">
        <v>44</v>
      </c>
      <c r="C23" s="84">
        <v>0</v>
      </c>
      <c r="D23" s="201"/>
      <c r="E23" s="199"/>
      <c r="F23" s="84">
        <v>1</v>
      </c>
      <c r="G23" s="201"/>
      <c r="H23" s="199"/>
      <c r="I23" s="84">
        <v>0</v>
      </c>
      <c r="J23" s="201"/>
      <c r="K23" s="199"/>
      <c r="L23" s="84">
        <v>0</v>
      </c>
      <c r="M23" s="201"/>
      <c r="N23" s="199"/>
      <c r="O23" s="84">
        <v>1</v>
      </c>
      <c r="P23" s="201"/>
      <c r="Q23" s="199"/>
      <c r="R23" s="84">
        <v>2</v>
      </c>
      <c r="S23" s="201"/>
      <c r="T23" s="199"/>
      <c r="U23" s="84">
        <f t="shared" si="0"/>
        <v>4</v>
      </c>
      <c r="V23" s="84">
        <v>1</v>
      </c>
      <c r="W23" s="214"/>
      <c r="X23" s="199"/>
      <c r="Y23" s="84">
        <v>3</v>
      </c>
      <c r="Z23" s="197"/>
      <c r="AA23" s="199"/>
      <c r="AB23" s="84">
        <v>1</v>
      </c>
      <c r="AC23" s="197"/>
      <c r="AD23" s="199"/>
      <c r="AE23" s="84">
        <v>1</v>
      </c>
      <c r="AF23" s="214"/>
      <c r="AG23" s="199"/>
      <c r="AH23" s="84">
        <v>0</v>
      </c>
      <c r="AI23" s="214"/>
      <c r="AJ23" s="199"/>
      <c r="AK23" s="84">
        <v>1</v>
      </c>
      <c r="AL23" s="206"/>
      <c r="AM23" s="199"/>
      <c r="AN23" s="84">
        <f t="shared" si="1"/>
        <v>7</v>
      </c>
      <c r="AO23" s="202"/>
      <c r="AP23" s="92">
        <f>+AO22*100</f>
        <v>28.571428571428569</v>
      </c>
    </row>
    <row r="24" spans="1:42" ht="35.25" customHeight="1" x14ac:dyDescent="0.25">
      <c r="A24" s="195" t="s">
        <v>45</v>
      </c>
      <c r="B24" s="85" t="s">
        <v>46</v>
      </c>
      <c r="C24" s="84" t="s">
        <v>47</v>
      </c>
      <c r="D24" s="200" t="s">
        <v>47</v>
      </c>
      <c r="E24" s="198"/>
      <c r="F24" s="84"/>
      <c r="G24" s="200" t="s">
        <v>47</v>
      </c>
      <c r="H24" s="198"/>
      <c r="I24" s="84"/>
      <c r="J24" s="200" t="s">
        <v>47</v>
      </c>
      <c r="K24" s="198"/>
      <c r="L24" s="84"/>
      <c r="M24" s="200" t="s">
        <v>47</v>
      </c>
      <c r="N24" s="198"/>
      <c r="O24" s="84"/>
      <c r="P24" s="200" t="s">
        <v>47</v>
      </c>
      <c r="Q24" s="198"/>
      <c r="R24" s="84"/>
      <c r="S24" s="200" t="s">
        <v>47</v>
      </c>
      <c r="T24" s="198"/>
      <c r="U24" s="84" t="e">
        <f t="shared" si="0"/>
        <v>#VALUE!</v>
      </c>
      <c r="V24" s="84"/>
      <c r="W24" s="198"/>
      <c r="X24" s="93"/>
      <c r="Y24" s="84"/>
      <c r="Z24" s="198"/>
      <c r="AA24" s="93"/>
      <c r="AB24" s="84"/>
      <c r="AC24" s="198"/>
      <c r="AD24" s="93"/>
      <c r="AE24" s="84"/>
      <c r="AF24" s="198"/>
      <c r="AG24" s="93"/>
      <c r="AH24" s="84"/>
      <c r="AI24" s="198"/>
      <c r="AJ24" s="93"/>
      <c r="AK24" s="84"/>
      <c r="AL24" s="198"/>
      <c r="AM24" s="93"/>
      <c r="AN24" s="84">
        <f t="shared" si="1"/>
        <v>0</v>
      </c>
      <c r="AO24" s="202" t="e">
        <f t="shared" ref="AO24" si="12">+AN24/AN25</f>
        <v>#DIV/0!</v>
      </c>
    </row>
    <row r="25" spans="1:42" ht="35.25" customHeight="1" x14ac:dyDescent="0.25">
      <c r="A25" s="195"/>
      <c r="B25" s="85" t="s">
        <v>48</v>
      </c>
      <c r="C25" s="84" t="s">
        <v>47</v>
      </c>
      <c r="D25" s="201"/>
      <c r="E25" s="199"/>
      <c r="F25" s="84"/>
      <c r="G25" s="201"/>
      <c r="H25" s="199"/>
      <c r="I25" s="84"/>
      <c r="J25" s="201"/>
      <c r="K25" s="199"/>
      <c r="L25" s="84"/>
      <c r="M25" s="201"/>
      <c r="N25" s="199"/>
      <c r="O25" s="84"/>
      <c r="P25" s="201"/>
      <c r="Q25" s="199"/>
      <c r="R25" s="84"/>
      <c r="S25" s="201"/>
      <c r="T25" s="199"/>
      <c r="U25" s="84" t="e">
        <f t="shared" si="0"/>
        <v>#VALUE!</v>
      </c>
      <c r="V25" s="84"/>
      <c r="W25" s="199"/>
      <c r="X25" s="93"/>
      <c r="Y25" s="84"/>
      <c r="Z25" s="199"/>
      <c r="AA25" s="93"/>
      <c r="AB25" s="84"/>
      <c r="AC25" s="199"/>
      <c r="AD25" s="93"/>
      <c r="AE25" s="84"/>
      <c r="AF25" s="199"/>
      <c r="AG25" s="93"/>
      <c r="AH25" s="84"/>
      <c r="AI25" s="199"/>
      <c r="AJ25" s="93"/>
      <c r="AK25" s="84"/>
      <c r="AL25" s="199"/>
      <c r="AM25" s="93"/>
      <c r="AN25" s="84">
        <f t="shared" si="1"/>
        <v>0</v>
      </c>
      <c r="AO25" s="202"/>
    </row>
    <row r="26" spans="1:42" ht="35.25" customHeight="1" x14ac:dyDescent="0.25">
      <c r="A26" s="195" t="s">
        <v>49</v>
      </c>
      <c r="B26" s="85" t="s">
        <v>50</v>
      </c>
      <c r="C26" s="84" t="s">
        <v>47</v>
      </c>
      <c r="D26" s="200" t="s">
        <v>47</v>
      </c>
      <c r="E26" s="198"/>
      <c r="F26" s="84"/>
      <c r="G26" s="200" t="s">
        <v>47</v>
      </c>
      <c r="H26" s="198"/>
      <c r="I26" s="84"/>
      <c r="J26" s="200" t="s">
        <v>47</v>
      </c>
      <c r="K26" s="198"/>
      <c r="L26" s="84"/>
      <c r="M26" s="200" t="s">
        <v>47</v>
      </c>
      <c r="N26" s="198"/>
      <c r="O26" s="84"/>
      <c r="P26" s="200" t="s">
        <v>47</v>
      </c>
      <c r="Q26" s="198"/>
      <c r="R26" s="84"/>
      <c r="S26" s="200" t="s">
        <v>47</v>
      </c>
      <c r="T26" s="198"/>
      <c r="U26" s="84" t="e">
        <f t="shared" si="0"/>
        <v>#VALUE!</v>
      </c>
      <c r="V26" s="84"/>
      <c r="W26" s="198"/>
      <c r="X26" s="93"/>
      <c r="Y26" s="84"/>
      <c r="Z26" s="198"/>
      <c r="AA26" s="93"/>
      <c r="AB26" s="84"/>
      <c r="AC26" s="198"/>
      <c r="AD26" s="93"/>
      <c r="AE26" s="84"/>
      <c r="AF26" s="198"/>
      <c r="AG26" s="93"/>
      <c r="AH26" s="84"/>
      <c r="AI26" s="198"/>
      <c r="AJ26" s="93"/>
      <c r="AK26" s="84"/>
      <c r="AL26" s="198"/>
      <c r="AM26" s="93"/>
      <c r="AN26" s="84">
        <f t="shared" si="1"/>
        <v>0</v>
      </c>
      <c r="AO26" s="202" t="e">
        <f t="shared" ref="AO26" si="13">+AN26/AN27</f>
        <v>#DIV/0!</v>
      </c>
    </row>
    <row r="27" spans="1:42" ht="35.25" customHeight="1" x14ac:dyDescent="0.25">
      <c r="A27" s="195"/>
      <c r="B27" s="85" t="s">
        <v>51</v>
      </c>
      <c r="C27" s="84" t="s">
        <v>47</v>
      </c>
      <c r="D27" s="201"/>
      <c r="E27" s="199"/>
      <c r="F27" s="84"/>
      <c r="G27" s="201"/>
      <c r="H27" s="199"/>
      <c r="I27" s="84"/>
      <c r="J27" s="201"/>
      <c r="K27" s="199"/>
      <c r="L27" s="84"/>
      <c r="M27" s="201"/>
      <c r="N27" s="199"/>
      <c r="O27" s="84"/>
      <c r="P27" s="201"/>
      <c r="Q27" s="199"/>
      <c r="R27" s="84"/>
      <c r="S27" s="201"/>
      <c r="T27" s="199"/>
      <c r="U27" s="84" t="e">
        <f t="shared" si="0"/>
        <v>#VALUE!</v>
      </c>
      <c r="V27" s="84"/>
      <c r="W27" s="199"/>
      <c r="X27" s="93"/>
      <c r="Y27" s="84"/>
      <c r="Z27" s="199"/>
      <c r="AA27" s="93"/>
      <c r="AB27" s="84"/>
      <c r="AC27" s="199"/>
      <c r="AD27" s="93"/>
      <c r="AE27" s="84"/>
      <c r="AF27" s="199"/>
      <c r="AG27" s="93"/>
      <c r="AH27" s="84"/>
      <c r="AI27" s="199"/>
      <c r="AJ27" s="93"/>
      <c r="AK27" s="84"/>
      <c r="AL27" s="199"/>
      <c r="AM27" s="93"/>
      <c r="AN27" s="84">
        <f t="shared" si="1"/>
        <v>0</v>
      </c>
      <c r="AO27" s="202"/>
    </row>
    <row r="28" spans="1:42" ht="35.25" customHeight="1" x14ac:dyDescent="0.25">
      <c r="A28" s="195" t="s">
        <v>52</v>
      </c>
      <c r="B28" s="85" t="s">
        <v>53</v>
      </c>
      <c r="C28" s="84" t="s">
        <v>47</v>
      </c>
      <c r="D28" s="200" t="s">
        <v>47</v>
      </c>
      <c r="E28" s="198"/>
      <c r="F28" s="84"/>
      <c r="G28" s="200" t="s">
        <v>47</v>
      </c>
      <c r="H28" s="198"/>
      <c r="I28" s="84"/>
      <c r="J28" s="200" t="s">
        <v>47</v>
      </c>
      <c r="K28" s="198"/>
      <c r="L28" s="84"/>
      <c r="M28" s="200" t="s">
        <v>47</v>
      </c>
      <c r="N28" s="198"/>
      <c r="O28" s="84"/>
      <c r="P28" s="200" t="s">
        <v>47</v>
      </c>
      <c r="Q28" s="198"/>
      <c r="R28" s="84"/>
      <c r="S28" s="200" t="s">
        <v>47</v>
      </c>
      <c r="T28" s="198"/>
      <c r="U28" s="84" t="e">
        <f t="shared" si="0"/>
        <v>#VALUE!</v>
      </c>
      <c r="V28" s="84"/>
      <c r="W28" s="198"/>
      <c r="X28" s="93"/>
      <c r="Y28" s="84"/>
      <c r="Z28" s="198"/>
      <c r="AA28" s="93"/>
      <c r="AB28" s="84"/>
      <c r="AC28" s="198"/>
      <c r="AD28" s="93"/>
      <c r="AE28" s="84"/>
      <c r="AF28" s="198"/>
      <c r="AG28" s="93"/>
      <c r="AH28" s="84"/>
      <c r="AI28" s="198"/>
      <c r="AJ28" s="93"/>
      <c r="AK28" s="84"/>
      <c r="AL28" s="198"/>
      <c r="AM28" s="93"/>
      <c r="AN28" s="84">
        <f t="shared" si="1"/>
        <v>0</v>
      </c>
      <c r="AO28" s="202" t="e">
        <f t="shared" ref="AO28" si="14">+AN28/AN29</f>
        <v>#DIV/0!</v>
      </c>
    </row>
    <row r="29" spans="1:42" ht="35.25" customHeight="1" x14ac:dyDescent="0.25">
      <c r="A29" s="195"/>
      <c r="B29" s="85" t="s">
        <v>54</v>
      </c>
      <c r="C29" s="84" t="s">
        <v>47</v>
      </c>
      <c r="D29" s="201"/>
      <c r="E29" s="199"/>
      <c r="F29" s="84"/>
      <c r="G29" s="201"/>
      <c r="H29" s="199"/>
      <c r="I29" s="84"/>
      <c r="J29" s="201"/>
      <c r="K29" s="199"/>
      <c r="L29" s="84"/>
      <c r="M29" s="201"/>
      <c r="N29" s="199"/>
      <c r="O29" s="84"/>
      <c r="P29" s="201"/>
      <c r="Q29" s="199"/>
      <c r="R29" s="84"/>
      <c r="S29" s="201"/>
      <c r="T29" s="199"/>
      <c r="U29" s="84" t="e">
        <f t="shared" si="0"/>
        <v>#VALUE!</v>
      </c>
      <c r="V29" s="84"/>
      <c r="W29" s="199"/>
      <c r="X29" s="93"/>
      <c r="Y29" s="84"/>
      <c r="Z29" s="199"/>
      <c r="AA29" s="93"/>
      <c r="AB29" s="84"/>
      <c r="AC29" s="199"/>
      <c r="AD29" s="93"/>
      <c r="AE29" s="84"/>
      <c r="AF29" s="199"/>
      <c r="AG29" s="93"/>
      <c r="AH29" s="84"/>
      <c r="AI29" s="199"/>
      <c r="AJ29" s="93"/>
      <c r="AK29" s="84"/>
      <c r="AL29" s="199"/>
      <c r="AM29" s="93"/>
      <c r="AN29" s="84">
        <f t="shared" si="1"/>
        <v>0</v>
      </c>
      <c r="AO29" s="202"/>
    </row>
    <row r="30" spans="1:42" ht="35.25" customHeight="1" x14ac:dyDescent="0.25">
      <c r="A30" s="195" t="s">
        <v>55</v>
      </c>
      <c r="B30" s="85" t="s">
        <v>56</v>
      </c>
      <c r="C30" s="84">
        <v>20</v>
      </c>
      <c r="D30" s="200">
        <f>+C30/C31</f>
        <v>9.569377990430622E-2</v>
      </c>
      <c r="E30" s="198"/>
      <c r="F30" s="84">
        <v>32</v>
      </c>
      <c r="G30" s="200">
        <f>+F30/F31</f>
        <v>0.13852813852813853</v>
      </c>
      <c r="H30" s="198"/>
      <c r="I30" s="84">
        <v>29</v>
      </c>
      <c r="J30" s="200">
        <f>+I30/I31</f>
        <v>0.14146341463414633</v>
      </c>
      <c r="K30" s="198"/>
      <c r="L30" s="84">
        <v>10</v>
      </c>
      <c r="M30" s="200">
        <f>+L30/L31</f>
        <v>5.8139534883720929E-2</v>
      </c>
      <c r="N30" s="198"/>
      <c r="O30" s="84">
        <v>18</v>
      </c>
      <c r="P30" s="200">
        <f>+O30/O31</f>
        <v>7.792207792207792E-2</v>
      </c>
      <c r="Q30" s="198"/>
      <c r="R30" s="84">
        <v>16</v>
      </c>
      <c r="S30" s="200">
        <f>+R30/R31</f>
        <v>9.1954022988505746E-2</v>
      </c>
      <c r="T30" s="198"/>
      <c r="U30" s="84">
        <f t="shared" si="0"/>
        <v>125</v>
      </c>
      <c r="V30" s="84">
        <v>23</v>
      </c>
      <c r="W30" s="196">
        <f>V30/V31</f>
        <v>9.5435684647302899E-2</v>
      </c>
      <c r="X30" s="198" t="s">
        <v>238</v>
      </c>
      <c r="Y30" s="84">
        <v>31</v>
      </c>
      <c r="Z30" s="196">
        <f>Y30/Y31</f>
        <v>0.14691943127962084</v>
      </c>
      <c r="AA30" s="198" t="s">
        <v>239</v>
      </c>
      <c r="AB30" s="84">
        <v>34</v>
      </c>
      <c r="AC30" s="196">
        <f>AB30/AB31</f>
        <v>0.15740740740740741</v>
      </c>
      <c r="AD30" s="198" t="s">
        <v>257</v>
      </c>
      <c r="AE30" s="84">
        <v>28</v>
      </c>
      <c r="AF30" s="196">
        <f>AE30/AE31</f>
        <v>0.13084112149532709</v>
      </c>
      <c r="AG30" s="198" t="s">
        <v>271</v>
      </c>
      <c r="AH30" s="84">
        <v>22</v>
      </c>
      <c r="AI30" s="196">
        <f>AH30/AH31</f>
        <v>0.10526315789473684</v>
      </c>
      <c r="AJ30" s="198" t="s">
        <v>293</v>
      </c>
      <c r="AK30" s="84">
        <v>19</v>
      </c>
      <c r="AL30" s="196">
        <f>AK30/AK31</f>
        <v>0.11728395061728394</v>
      </c>
      <c r="AM30" s="198" t="s">
        <v>294</v>
      </c>
      <c r="AN30" s="84">
        <f t="shared" si="1"/>
        <v>157</v>
      </c>
      <c r="AO30" s="202">
        <f t="shared" ref="AO30" si="15">+AN30/AN31</f>
        <v>0.12529928172386273</v>
      </c>
      <c r="AP30" s="92">
        <f>+AO30*100</f>
        <v>12.529928172386274</v>
      </c>
    </row>
    <row r="31" spans="1:42" ht="35.25" customHeight="1" x14ac:dyDescent="0.25">
      <c r="A31" s="195"/>
      <c r="B31" s="85" t="s">
        <v>57</v>
      </c>
      <c r="C31" s="84">
        <v>209</v>
      </c>
      <c r="D31" s="201"/>
      <c r="E31" s="199"/>
      <c r="F31" s="84">
        <v>231</v>
      </c>
      <c r="G31" s="201"/>
      <c r="H31" s="199"/>
      <c r="I31" s="84">
        <v>205</v>
      </c>
      <c r="J31" s="201"/>
      <c r="K31" s="199"/>
      <c r="L31" s="84">
        <v>172</v>
      </c>
      <c r="M31" s="201"/>
      <c r="N31" s="199"/>
      <c r="O31" s="84">
        <v>231</v>
      </c>
      <c r="P31" s="201"/>
      <c r="Q31" s="199"/>
      <c r="R31" s="84">
        <v>174</v>
      </c>
      <c r="S31" s="201"/>
      <c r="T31" s="199"/>
      <c r="U31" s="84">
        <f t="shared" si="0"/>
        <v>1222</v>
      </c>
      <c r="V31" s="84">
        <v>241</v>
      </c>
      <c r="W31" s="197"/>
      <c r="X31" s="199"/>
      <c r="Y31" s="84">
        <v>211</v>
      </c>
      <c r="Z31" s="197"/>
      <c r="AA31" s="199"/>
      <c r="AB31" s="84">
        <v>216</v>
      </c>
      <c r="AC31" s="197"/>
      <c r="AD31" s="199"/>
      <c r="AE31" s="84">
        <v>214</v>
      </c>
      <c r="AF31" s="197"/>
      <c r="AG31" s="199"/>
      <c r="AH31" s="84">
        <v>209</v>
      </c>
      <c r="AI31" s="197"/>
      <c r="AJ31" s="199"/>
      <c r="AK31" s="84">
        <v>162</v>
      </c>
      <c r="AL31" s="197"/>
      <c r="AM31" s="199"/>
      <c r="AN31" s="84">
        <f t="shared" si="1"/>
        <v>1253</v>
      </c>
      <c r="AO31" s="202"/>
    </row>
    <row r="32" spans="1:42" ht="35.25" customHeight="1" x14ac:dyDescent="0.25">
      <c r="A32" s="195" t="s">
        <v>58</v>
      </c>
      <c r="B32" s="85" t="s">
        <v>59</v>
      </c>
      <c r="C32" s="84">
        <v>2</v>
      </c>
      <c r="D32" s="200">
        <f>+C32/C33</f>
        <v>2.4096385542168676E-2</v>
      </c>
      <c r="E32" s="198"/>
      <c r="F32" s="84">
        <v>2</v>
      </c>
      <c r="G32" s="200">
        <f>+F32/F33</f>
        <v>1.8018018018018018E-2</v>
      </c>
      <c r="H32" s="198"/>
      <c r="I32" s="84">
        <v>3</v>
      </c>
      <c r="J32" s="200">
        <f>+I32/I33</f>
        <v>4.2253521126760563E-2</v>
      </c>
      <c r="K32" s="198"/>
      <c r="L32" s="84">
        <v>4</v>
      </c>
      <c r="M32" s="200">
        <f>+L32/L33</f>
        <v>5.7971014492753624E-2</v>
      </c>
      <c r="N32" s="198"/>
      <c r="O32" s="84">
        <v>8</v>
      </c>
      <c r="P32" s="200">
        <f>+O32/O33</f>
        <v>0.1038961038961039</v>
      </c>
      <c r="Q32" s="198"/>
      <c r="R32" s="84">
        <v>5</v>
      </c>
      <c r="S32" s="200">
        <f>+R32/R33</f>
        <v>5.8823529411764705E-2</v>
      </c>
      <c r="T32" s="198"/>
      <c r="U32" s="84">
        <f t="shared" si="0"/>
        <v>24</v>
      </c>
      <c r="V32" s="84">
        <v>12</v>
      </c>
      <c r="W32" s="196">
        <f>V32/V33</f>
        <v>0.13043478260869565</v>
      </c>
      <c r="X32" s="198" t="s">
        <v>240</v>
      </c>
      <c r="Y32" s="84">
        <v>18</v>
      </c>
      <c r="Z32" s="196">
        <f>Y32/Y33</f>
        <v>0.20689655172413793</v>
      </c>
      <c r="AA32" s="198" t="s">
        <v>241</v>
      </c>
      <c r="AB32" s="84">
        <v>23</v>
      </c>
      <c r="AC32" s="196">
        <f>AB32/AB33</f>
        <v>0.30666666666666664</v>
      </c>
      <c r="AD32" s="198" t="s">
        <v>258</v>
      </c>
      <c r="AE32" s="84">
        <v>18</v>
      </c>
      <c r="AF32" s="196">
        <f>AE32/AE33</f>
        <v>0.20930232558139536</v>
      </c>
      <c r="AG32" s="198" t="s">
        <v>272</v>
      </c>
      <c r="AH32" s="84">
        <v>17</v>
      </c>
      <c r="AI32" s="196">
        <f>AH32/AH33</f>
        <v>0.22972972972972974</v>
      </c>
      <c r="AJ32" s="198" t="s">
        <v>295</v>
      </c>
      <c r="AK32" s="84">
        <v>13</v>
      </c>
      <c r="AL32" s="196">
        <f>AK32/AK33</f>
        <v>0.16455696202531644</v>
      </c>
      <c r="AM32" s="198" t="s">
        <v>296</v>
      </c>
      <c r="AN32" s="84">
        <f t="shared" si="1"/>
        <v>101</v>
      </c>
      <c r="AO32" s="202">
        <f t="shared" ref="AO32" si="16">+AN32/AN33</f>
        <v>0.20486815415821502</v>
      </c>
    </row>
    <row r="33" spans="1:42" ht="35.25" customHeight="1" x14ac:dyDescent="0.25">
      <c r="A33" s="195"/>
      <c r="B33" s="85" t="s">
        <v>60</v>
      </c>
      <c r="C33" s="84">
        <v>83</v>
      </c>
      <c r="D33" s="201"/>
      <c r="E33" s="199"/>
      <c r="F33" s="84">
        <v>111</v>
      </c>
      <c r="G33" s="201"/>
      <c r="H33" s="199"/>
      <c r="I33" s="84">
        <v>71</v>
      </c>
      <c r="J33" s="201"/>
      <c r="K33" s="199"/>
      <c r="L33" s="84">
        <v>69</v>
      </c>
      <c r="M33" s="201"/>
      <c r="N33" s="199"/>
      <c r="O33" s="84">
        <v>77</v>
      </c>
      <c r="P33" s="201"/>
      <c r="Q33" s="199"/>
      <c r="R33" s="84">
        <v>85</v>
      </c>
      <c r="S33" s="201"/>
      <c r="T33" s="199"/>
      <c r="U33" s="84">
        <f t="shared" si="0"/>
        <v>496</v>
      </c>
      <c r="V33" s="84">
        <v>92</v>
      </c>
      <c r="W33" s="197"/>
      <c r="X33" s="199"/>
      <c r="Y33" s="84">
        <v>87</v>
      </c>
      <c r="Z33" s="197"/>
      <c r="AA33" s="199"/>
      <c r="AB33" s="84">
        <v>75</v>
      </c>
      <c r="AC33" s="197"/>
      <c r="AD33" s="199"/>
      <c r="AE33" s="84">
        <v>86</v>
      </c>
      <c r="AF33" s="197"/>
      <c r="AG33" s="199"/>
      <c r="AH33" s="84">
        <v>74</v>
      </c>
      <c r="AI33" s="197"/>
      <c r="AJ33" s="199"/>
      <c r="AK33" s="84">
        <v>79</v>
      </c>
      <c r="AL33" s="197"/>
      <c r="AM33" s="199"/>
      <c r="AN33" s="84">
        <f t="shared" si="1"/>
        <v>493</v>
      </c>
      <c r="AO33" s="202"/>
      <c r="AP33" s="92">
        <f>+AO32*100</f>
        <v>20.486815415821503</v>
      </c>
    </row>
    <row r="34" spans="1:42" ht="35.25" customHeight="1" x14ac:dyDescent="0.25">
      <c r="A34" s="195" t="s">
        <v>61</v>
      </c>
      <c r="B34" s="85" t="s">
        <v>62</v>
      </c>
      <c r="C34" s="84" t="s">
        <v>47</v>
      </c>
      <c r="D34" s="200" t="s">
        <v>47</v>
      </c>
      <c r="E34" s="198"/>
      <c r="F34" s="84"/>
      <c r="G34" s="200" t="s">
        <v>47</v>
      </c>
      <c r="H34" s="198"/>
      <c r="I34" s="84"/>
      <c r="J34" s="200" t="s">
        <v>47</v>
      </c>
      <c r="K34" s="198"/>
      <c r="L34" s="84"/>
      <c r="M34" s="200" t="s">
        <v>47</v>
      </c>
      <c r="N34" s="198"/>
      <c r="O34" s="84"/>
      <c r="P34" s="200" t="s">
        <v>47</v>
      </c>
      <c r="Q34" s="198"/>
      <c r="R34" s="84"/>
      <c r="S34" s="200" t="s">
        <v>47</v>
      </c>
      <c r="T34" s="198"/>
      <c r="U34" s="84" t="e">
        <f t="shared" si="0"/>
        <v>#VALUE!</v>
      </c>
      <c r="V34" s="84"/>
      <c r="W34" s="198"/>
      <c r="X34" s="93"/>
      <c r="Y34" s="84"/>
      <c r="Z34" s="198"/>
      <c r="AA34" s="93"/>
      <c r="AB34" s="84"/>
      <c r="AC34" s="198"/>
      <c r="AD34" s="93"/>
      <c r="AE34" s="84"/>
      <c r="AF34" s="198"/>
      <c r="AG34" s="93"/>
      <c r="AH34" s="84"/>
      <c r="AI34" s="198"/>
      <c r="AJ34" s="93"/>
      <c r="AK34" s="84"/>
      <c r="AL34" s="198"/>
      <c r="AM34" s="93"/>
      <c r="AN34" s="84">
        <f t="shared" si="1"/>
        <v>0</v>
      </c>
      <c r="AO34" s="202" t="e">
        <f t="shared" ref="AO34" si="17">+AN34/AN35</f>
        <v>#DIV/0!</v>
      </c>
    </row>
    <row r="35" spans="1:42" ht="35.25" customHeight="1" x14ac:dyDescent="0.25">
      <c r="A35" s="195"/>
      <c r="B35" s="85" t="s">
        <v>63</v>
      </c>
      <c r="C35" s="84" t="s">
        <v>47</v>
      </c>
      <c r="D35" s="201"/>
      <c r="E35" s="199"/>
      <c r="F35" s="84"/>
      <c r="G35" s="201"/>
      <c r="H35" s="199"/>
      <c r="I35" s="84"/>
      <c r="J35" s="201"/>
      <c r="K35" s="199"/>
      <c r="L35" s="84"/>
      <c r="M35" s="201"/>
      <c r="N35" s="199"/>
      <c r="O35" s="84"/>
      <c r="P35" s="201"/>
      <c r="Q35" s="199"/>
      <c r="R35" s="84"/>
      <c r="S35" s="201"/>
      <c r="T35" s="199"/>
      <c r="U35" s="84" t="e">
        <f t="shared" si="0"/>
        <v>#VALUE!</v>
      </c>
      <c r="V35" s="84"/>
      <c r="W35" s="199"/>
      <c r="X35" s="93"/>
      <c r="Y35" s="84"/>
      <c r="Z35" s="199"/>
      <c r="AA35" s="93"/>
      <c r="AB35" s="84"/>
      <c r="AC35" s="199"/>
      <c r="AD35" s="93"/>
      <c r="AE35" s="84"/>
      <c r="AF35" s="199"/>
      <c r="AG35" s="93"/>
      <c r="AH35" s="84"/>
      <c r="AI35" s="199"/>
      <c r="AJ35" s="93"/>
      <c r="AK35" s="84"/>
      <c r="AL35" s="199"/>
      <c r="AM35" s="93"/>
      <c r="AN35" s="84">
        <f t="shared" si="1"/>
        <v>0</v>
      </c>
      <c r="AO35" s="202"/>
    </row>
    <row r="36" spans="1:42" ht="35.25" customHeight="1" x14ac:dyDescent="0.25">
      <c r="A36" s="195" t="s">
        <v>64</v>
      </c>
      <c r="B36" s="85" t="s">
        <v>65</v>
      </c>
      <c r="C36" s="84" t="s">
        <v>47</v>
      </c>
      <c r="D36" s="200" t="s">
        <v>47</v>
      </c>
      <c r="E36" s="198"/>
      <c r="F36" s="84"/>
      <c r="G36" s="200" t="s">
        <v>47</v>
      </c>
      <c r="H36" s="198"/>
      <c r="I36" s="84"/>
      <c r="J36" s="200" t="s">
        <v>47</v>
      </c>
      <c r="K36" s="198"/>
      <c r="L36" s="84"/>
      <c r="M36" s="200" t="s">
        <v>47</v>
      </c>
      <c r="N36" s="198"/>
      <c r="O36" s="84"/>
      <c r="P36" s="200" t="s">
        <v>47</v>
      </c>
      <c r="Q36" s="198"/>
      <c r="R36" s="84"/>
      <c r="S36" s="200" t="s">
        <v>47</v>
      </c>
      <c r="T36" s="198"/>
      <c r="U36" s="84" t="e">
        <f t="shared" si="0"/>
        <v>#VALUE!</v>
      </c>
      <c r="V36" s="84"/>
      <c r="W36" s="198"/>
      <c r="X36" s="93"/>
      <c r="Y36" s="84"/>
      <c r="Z36" s="198"/>
      <c r="AA36" s="93"/>
      <c r="AB36" s="84"/>
      <c r="AC36" s="198"/>
      <c r="AD36" s="93"/>
      <c r="AE36" s="84"/>
      <c r="AF36" s="198"/>
      <c r="AG36" s="93"/>
      <c r="AH36" s="84"/>
      <c r="AI36" s="198"/>
      <c r="AJ36" s="93"/>
      <c r="AK36" s="84"/>
      <c r="AL36" s="198"/>
      <c r="AM36" s="93"/>
      <c r="AN36" s="84">
        <f t="shared" si="1"/>
        <v>0</v>
      </c>
      <c r="AO36" s="202" t="e">
        <f t="shared" ref="AO36" si="18">+AN36/AN37</f>
        <v>#DIV/0!</v>
      </c>
    </row>
    <row r="37" spans="1:42" ht="35.25" customHeight="1" x14ac:dyDescent="0.25">
      <c r="A37" s="195"/>
      <c r="B37" s="85" t="s">
        <v>66</v>
      </c>
      <c r="C37" s="84" t="s">
        <v>47</v>
      </c>
      <c r="D37" s="201"/>
      <c r="E37" s="199"/>
      <c r="F37" s="84"/>
      <c r="G37" s="201"/>
      <c r="H37" s="199"/>
      <c r="I37" s="84"/>
      <c r="J37" s="201"/>
      <c r="K37" s="199"/>
      <c r="L37" s="84"/>
      <c r="M37" s="201"/>
      <c r="N37" s="199"/>
      <c r="O37" s="84"/>
      <c r="P37" s="201"/>
      <c r="Q37" s="199"/>
      <c r="R37" s="84"/>
      <c r="S37" s="201"/>
      <c r="T37" s="199"/>
      <c r="U37" s="84" t="e">
        <f t="shared" si="0"/>
        <v>#VALUE!</v>
      </c>
      <c r="V37" s="84"/>
      <c r="W37" s="199"/>
      <c r="X37" s="93"/>
      <c r="Y37" s="84"/>
      <c r="Z37" s="199"/>
      <c r="AA37" s="93"/>
      <c r="AB37" s="84"/>
      <c r="AC37" s="199"/>
      <c r="AD37" s="93"/>
      <c r="AE37" s="84"/>
      <c r="AF37" s="199"/>
      <c r="AG37" s="93"/>
      <c r="AH37" s="84"/>
      <c r="AI37" s="199"/>
      <c r="AJ37" s="93"/>
      <c r="AK37" s="84"/>
      <c r="AL37" s="199"/>
      <c r="AM37" s="93"/>
      <c r="AN37" s="84">
        <f t="shared" si="1"/>
        <v>0</v>
      </c>
      <c r="AO37" s="202"/>
    </row>
    <row r="38" spans="1:42" ht="35.25" customHeight="1" x14ac:dyDescent="0.25">
      <c r="A38" s="195" t="s">
        <v>67</v>
      </c>
      <c r="B38" s="85" t="s">
        <v>68</v>
      </c>
      <c r="C38" s="84" t="s">
        <v>47</v>
      </c>
      <c r="D38" s="200" t="s">
        <v>47</v>
      </c>
      <c r="E38" s="198"/>
      <c r="F38" s="84"/>
      <c r="G38" s="200" t="s">
        <v>47</v>
      </c>
      <c r="H38" s="198"/>
      <c r="I38" s="84"/>
      <c r="J38" s="200" t="s">
        <v>47</v>
      </c>
      <c r="K38" s="198"/>
      <c r="L38" s="84"/>
      <c r="M38" s="200" t="s">
        <v>47</v>
      </c>
      <c r="N38" s="198"/>
      <c r="O38" s="84"/>
      <c r="P38" s="200" t="s">
        <v>47</v>
      </c>
      <c r="Q38" s="198"/>
      <c r="R38" s="84"/>
      <c r="S38" s="200" t="s">
        <v>47</v>
      </c>
      <c r="T38" s="198"/>
      <c r="U38" s="84" t="e">
        <f t="shared" si="0"/>
        <v>#VALUE!</v>
      </c>
      <c r="V38" s="84"/>
      <c r="W38" s="198"/>
      <c r="X38" s="93"/>
      <c r="Y38" s="84"/>
      <c r="Z38" s="198"/>
      <c r="AA38" s="93"/>
      <c r="AB38" s="84"/>
      <c r="AC38" s="198"/>
      <c r="AD38" s="93"/>
      <c r="AE38" s="84"/>
      <c r="AF38" s="198"/>
      <c r="AG38" s="93"/>
      <c r="AH38" s="84"/>
      <c r="AI38" s="198"/>
      <c r="AJ38" s="93"/>
      <c r="AK38" s="84"/>
      <c r="AL38" s="198"/>
      <c r="AM38" s="93"/>
      <c r="AN38" s="84">
        <f t="shared" si="1"/>
        <v>0</v>
      </c>
      <c r="AO38" s="202" t="e">
        <f t="shared" ref="AO38" si="19">+AN38/AN39</f>
        <v>#DIV/0!</v>
      </c>
    </row>
    <row r="39" spans="1:42" ht="35.25" customHeight="1" x14ac:dyDescent="0.25">
      <c r="A39" s="195"/>
      <c r="B39" s="85" t="s">
        <v>69</v>
      </c>
      <c r="C39" s="84" t="s">
        <v>47</v>
      </c>
      <c r="D39" s="201"/>
      <c r="E39" s="199"/>
      <c r="F39" s="84"/>
      <c r="G39" s="201"/>
      <c r="H39" s="199"/>
      <c r="I39" s="84"/>
      <c r="J39" s="201"/>
      <c r="K39" s="199"/>
      <c r="L39" s="84"/>
      <c r="M39" s="201"/>
      <c r="N39" s="199"/>
      <c r="O39" s="84"/>
      <c r="P39" s="201"/>
      <c r="Q39" s="199"/>
      <c r="R39" s="84"/>
      <c r="S39" s="201"/>
      <c r="T39" s="199"/>
      <c r="U39" s="84" t="e">
        <f t="shared" si="0"/>
        <v>#VALUE!</v>
      </c>
      <c r="V39" s="84"/>
      <c r="W39" s="199"/>
      <c r="X39" s="93"/>
      <c r="Y39" s="84"/>
      <c r="Z39" s="199"/>
      <c r="AA39" s="93"/>
      <c r="AB39" s="84"/>
      <c r="AC39" s="199"/>
      <c r="AD39" s="93"/>
      <c r="AE39" s="84"/>
      <c r="AF39" s="199"/>
      <c r="AG39" s="93"/>
      <c r="AH39" s="84"/>
      <c r="AI39" s="199"/>
      <c r="AJ39" s="93"/>
      <c r="AK39" s="84"/>
      <c r="AL39" s="199"/>
      <c r="AM39" s="93"/>
      <c r="AN39" s="84">
        <f t="shared" si="1"/>
        <v>0</v>
      </c>
      <c r="AO39" s="202"/>
    </row>
    <row r="40" spans="1:42" ht="35.25" customHeight="1" x14ac:dyDescent="0.25">
      <c r="A40" s="195" t="s">
        <v>70</v>
      </c>
      <c r="B40" s="85" t="s">
        <v>71</v>
      </c>
      <c r="C40" s="84" t="s">
        <v>47</v>
      </c>
      <c r="D40" s="200" t="s">
        <v>47</v>
      </c>
      <c r="E40" s="198"/>
      <c r="F40" s="84"/>
      <c r="G40" s="200" t="s">
        <v>47</v>
      </c>
      <c r="H40" s="198"/>
      <c r="I40" s="84"/>
      <c r="J40" s="200" t="s">
        <v>47</v>
      </c>
      <c r="K40" s="198"/>
      <c r="L40" s="84"/>
      <c r="M40" s="200" t="s">
        <v>47</v>
      </c>
      <c r="N40" s="198"/>
      <c r="O40" s="84"/>
      <c r="P40" s="200" t="s">
        <v>47</v>
      </c>
      <c r="Q40" s="198"/>
      <c r="R40" s="84"/>
      <c r="S40" s="200" t="s">
        <v>47</v>
      </c>
      <c r="T40" s="198"/>
      <c r="U40" s="84" t="e">
        <f t="shared" si="0"/>
        <v>#VALUE!</v>
      </c>
      <c r="V40" s="84"/>
      <c r="W40" s="198"/>
      <c r="X40" s="93"/>
      <c r="Y40" s="84"/>
      <c r="Z40" s="198"/>
      <c r="AA40" s="93"/>
      <c r="AB40" s="84"/>
      <c r="AC40" s="198"/>
      <c r="AD40" s="93"/>
      <c r="AE40" s="84"/>
      <c r="AF40" s="198"/>
      <c r="AG40" s="93"/>
      <c r="AH40" s="84"/>
      <c r="AI40" s="198"/>
      <c r="AJ40" s="93"/>
      <c r="AK40" s="84"/>
      <c r="AL40" s="198"/>
      <c r="AM40" s="93"/>
      <c r="AN40" s="84">
        <f t="shared" si="1"/>
        <v>0</v>
      </c>
      <c r="AO40" s="202" t="e">
        <f t="shared" ref="AO40" si="20">+AN40/AN41</f>
        <v>#DIV/0!</v>
      </c>
    </row>
    <row r="41" spans="1:42" ht="35.25" customHeight="1" x14ac:dyDescent="0.25">
      <c r="A41" s="195"/>
      <c r="B41" s="85" t="s">
        <v>72</v>
      </c>
      <c r="C41" s="84" t="s">
        <v>47</v>
      </c>
      <c r="D41" s="201"/>
      <c r="E41" s="199"/>
      <c r="F41" s="84"/>
      <c r="G41" s="201"/>
      <c r="H41" s="199"/>
      <c r="I41" s="84"/>
      <c r="J41" s="201"/>
      <c r="K41" s="199"/>
      <c r="L41" s="84"/>
      <c r="M41" s="201"/>
      <c r="N41" s="199"/>
      <c r="O41" s="84"/>
      <c r="P41" s="201"/>
      <c r="Q41" s="199"/>
      <c r="R41" s="84"/>
      <c r="S41" s="201"/>
      <c r="T41" s="199"/>
      <c r="U41" s="84" t="e">
        <f t="shared" si="0"/>
        <v>#VALUE!</v>
      </c>
      <c r="V41" s="84"/>
      <c r="W41" s="199"/>
      <c r="X41" s="93"/>
      <c r="Y41" s="84"/>
      <c r="Z41" s="199"/>
      <c r="AA41" s="93"/>
      <c r="AB41" s="84"/>
      <c r="AC41" s="199"/>
      <c r="AD41" s="93"/>
      <c r="AE41" s="84"/>
      <c r="AF41" s="199"/>
      <c r="AG41" s="93"/>
      <c r="AH41" s="84"/>
      <c r="AI41" s="199"/>
      <c r="AJ41" s="93"/>
      <c r="AK41" s="84"/>
      <c r="AL41" s="199"/>
      <c r="AM41" s="93"/>
      <c r="AN41" s="84">
        <f t="shared" si="1"/>
        <v>0</v>
      </c>
      <c r="AO41" s="202"/>
    </row>
    <row r="42" spans="1:42" ht="35.25" customHeight="1" x14ac:dyDescent="0.25">
      <c r="A42" s="195" t="s">
        <v>73</v>
      </c>
      <c r="B42" s="85" t="s">
        <v>74</v>
      </c>
      <c r="C42" s="84" t="s">
        <v>47</v>
      </c>
      <c r="D42" s="200" t="s">
        <v>47</v>
      </c>
      <c r="E42" s="198"/>
      <c r="F42" s="84"/>
      <c r="G42" s="200" t="s">
        <v>47</v>
      </c>
      <c r="H42" s="198"/>
      <c r="I42" s="84"/>
      <c r="J42" s="200" t="s">
        <v>47</v>
      </c>
      <c r="K42" s="198"/>
      <c r="L42" s="84"/>
      <c r="M42" s="200" t="s">
        <v>47</v>
      </c>
      <c r="N42" s="198"/>
      <c r="O42" s="84"/>
      <c r="P42" s="200" t="s">
        <v>47</v>
      </c>
      <c r="Q42" s="198"/>
      <c r="R42" s="84"/>
      <c r="S42" s="200" t="s">
        <v>47</v>
      </c>
      <c r="T42" s="198"/>
      <c r="U42" s="84" t="e">
        <f t="shared" si="0"/>
        <v>#VALUE!</v>
      </c>
      <c r="V42" s="84"/>
      <c r="W42" s="198"/>
      <c r="X42" s="93"/>
      <c r="Y42" s="84"/>
      <c r="Z42" s="198"/>
      <c r="AA42" s="93"/>
      <c r="AB42" s="84"/>
      <c r="AC42" s="198"/>
      <c r="AD42" s="93"/>
      <c r="AE42" s="84"/>
      <c r="AF42" s="198"/>
      <c r="AG42" s="93"/>
      <c r="AH42" s="84"/>
      <c r="AI42" s="198"/>
      <c r="AJ42" s="93"/>
      <c r="AK42" s="84"/>
      <c r="AL42" s="198"/>
      <c r="AM42" s="93"/>
      <c r="AN42" s="84">
        <f t="shared" si="1"/>
        <v>0</v>
      </c>
      <c r="AO42" s="202" t="e">
        <f t="shared" ref="AO42" si="21">+AN42/AN43</f>
        <v>#DIV/0!</v>
      </c>
    </row>
    <row r="43" spans="1:42" ht="35.25" customHeight="1" x14ac:dyDescent="0.25">
      <c r="A43" s="195"/>
      <c r="B43" s="85" t="s">
        <v>75</v>
      </c>
      <c r="C43" s="84" t="s">
        <v>47</v>
      </c>
      <c r="D43" s="201"/>
      <c r="E43" s="199"/>
      <c r="F43" s="84"/>
      <c r="G43" s="201"/>
      <c r="H43" s="199"/>
      <c r="I43" s="84"/>
      <c r="J43" s="201"/>
      <c r="K43" s="199"/>
      <c r="L43" s="84"/>
      <c r="M43" s="201"/>
      <c r="N43" s="199"/>
      <c r="O43" s="84"/>
      <c r="P43" s="201"/>
      <c r="Q43" s="199"/>
      <c r="R43" s="84"/>
      <c r="S43" s="201"/>
      <c r="T43" s="199"/>
      <c r="U43" s="84" t="e">
        <f t="shared" si="0"/>
        <v>#VALUE!</v>
      </c>
      <c r="V43" s="84"/>
      <c r="W43" s="199"/>
      <c r="X43" s="93"/>
      <c r="Y43" s="84"/>
      <c r="Z43" s="199"/>
      <c r="AA43" s="93"/>
      <c r="AB43" s="84"/>
      <c r="AC43" s="199"/>
      <c r="AD43" s="93"/>
      <c r="AE43" s="84"/>
      <c r="AF43" s="199"/>
      <c r="AG43" s="93"/>
      <c r="AH43" s="84"/>
      <c r="AI43" s="199"/>
      <c r="AJ43" s="93"/>
      <c r="AK43" s="84"/>
      <c r="AL43" s="199"/>
      <c r="AM43" s="93"/>
      <c r="AN43" s="84">
        <f t="shared" si="1"/>
        <v>0</v>
      </c>
      <c r="AO43" s="202"/>
    </row>
    <row r="44" spans="1:42" ht="35.25" customHeight="1" x14ac:dyDescent="0.25">
      <c r="A44" s="195" t="s">
        <v>76</v>
      </c>
      <c r="B44" s="85" t="s">
        <v>77</v>
      </c>
      <c r="C44" s="84">
        <v>0</v>
      </c>
      <c r="D44" s="200">
        <v>0</v>
      </c>
      <c r="E44" s="198" t="s">
        <v>213</v>
      </c>
      <c r="F44" s="84">
        <v>0</v>
      </c>
      <c r="G44" s="200">
        <v>0</v>
      </c>
      <c r="H44" s="198" t="s">
        <v>213</v>
      </c>
      <c r="I44" s="84">
        <v>0</v>
      </c>
      <c r="J44" s="200">
        <v>0</v>
      </c>
      <c r="K44" s="198" t="s">
        <v>213</v>
      </c>
      <c r="L44" s="84">
        <v>0</v>
      </c>
      <c r="M44" s="200">
        <v>0</v>
      </c>
      <c r="N44" s="198" t="s">
        <v>213</v>
      </c>
      <c r="O44" s="84">
        <v>0</v>
      </c>
      <c r="P44" s="200">
        <v>0</v>
      </c>
      <c r="Q44" s="198" t="s">
        <v>213</v>
      </c>
      <c r="R44" s="84">
        <v>0</v>
      </c>
      <c r="S44" s="200">
        <v>0</v>
      </c>
      <c r="T44" s="198" t="s">
        <v>213</v>
      </c>
      <c r="U44" s="84">
        <f t="shared" si="0"/>
        <v>0</v>
      </c>
      <c r="V44" s="84">
        <v>0</v>
      </c>
      <c r="W44" s="198">
        <v>0</v>
      </c>
      <c r="X44" s="84" t="s">
        <v>226</v>
      </c>
      <c r="Y44" s="84">
        <v>0</v>
      </c>
      <c r="Z44" s="198">
        <v>0</v>
      </c>
      <c r="AA44" s="84" t="s">
        <v>226</v>
      </c>
      <c r="AB44" s="84">
        <v>0</v>
      </c>
      <c r="AC44" s="198">
        <v>0</v>
      </c>
      <c r="AD44" s="84" t="s">
        <v>226</v>
      </c>
      <c r="AE44" s="84">
        <v>0</v>
      </c>
      <c r="AF44" s="198">
        <v>0</v>
      </c>
      <c r="AG44" s="84" t="s">
        <v>226</v>
      </c>
      <c r="AH44" s="84">
        <v>0</v>
      </c>
      <c r="AI44" s="198">
        <v>0</v>
      </c>
      <c r="AJ44" s="84" t="s">
        <v>226</v>
      </c>
      <c r="AK44" s="84">
        <v>0</v>
      </c>
      <c r="AL44" s="198">
        <v>0</v>
      </c>
      <c r="AM44" s="84" t="s">
        <v>226</v>
      </c>
      <c r="AN44" s="84">
        <f t="shared" si="1"/>
        <v>0</v>
      </c>
      <c r="AO44" s="202" t="e">
        <f t="shared" ref="AO44" si="22">+AN44/AN45</f>
        <v>#DIV/0!</v>
      </c>
    </row>
    <row r="45" spans="1:42" ht="35.25" customHeight="1" x14ac:dyDescent="0.25">
      <c r="A45" s="195"/>
      <c r="B45" s="85" t="s">
        <v>78</v>
      </c>
      <c r="C45" s="84">
        <v>0</v>
      </c>
      <c r="D45" s="201"/>
      <c r="E45" s="199"/>
      <c r="F45" s="84">
        <v>0</v>
      </c>
      <c r="G45" s="201"/>
      <c r="H45" s="199"/>
      <c r="I45" s="84">
        <v>0</v>
      </c>
      <c r="J45" s="201"/>
      <c r="K45" s="199"/>
      <c r="L45" s="84">
        <v>0</v>
      </c>
      <c r="M45" s="201"/>
      <c r="N45" s="199"/>
      <c r="O45" s="84">
        <v>0</v>
      </c>
      <c r="P45" s="201"/>
      <c r="Q45" s="199"/>
      <c r="R45" s="84">
        <v>0</v>
      </c>
      <c r="S45" s="201"/>
      <c r="T45" s="199"/>
      <c r="U45" s="84">
        <f t="shared" si="0"/>
        <v>0</v>
      </c>
      <c r="V45" s="84">
        <v>0</v>
      </c>
      <c r="W45" s="199"/>
      <c r="X45" s="84" t="s">
        <v>226</v>
      </c>
      <c r="Y45" s="84">
        <v>0</v>
      </c>
      <c r="Z45" s="199"/>
      <c r="AA45" s="84" t="s">
        <v>226</v>
      </c>
      <c r="AB45" s="84">
        <v>0</v>
      </c>
      <c r="AC45" s="199"/>
      <c r="AD45" s="84" t="s">
        <v>226</v>
      </c>
      <c r="AE45" s="84">
        <v>0</v>
      </c>
      <c r="AF45" s="199"/>
      <c r="AG45" s="84" t="s">
        <v>226</v>
      </c>
      <c r="AH45" s="84">
        <v>0</v>
      </c>
      <c r="AI45" s="199"/>
      <c r="AJ45" s="84" t="s">
        <v>226</v>
      </c>
      <c r="AK45" s="84">
        <v>0</v>
      </c>
      <c r="AL45" s="199"/>
      <c r="AM45" s="84" t="s">
        <v>226</v>
      </c>
      <c r="AN45" s="84">
        <f t="shared" si="1"/>
        <v>0</v>
      </c>
      <c r="AO45" s="202"/>
    </row>
    <row r="46" spans="1:42" ht="35.25" customHeight="1" x14ac:dyDescent="0.25">
      <c r="A46" s="195" t="s">
        <v>79</v>
      </c>
      <c r="B46" s="85" t="s">
        <v>80</v>
      </c>
      <c r="C46" s="84">
        <v>0</v>
      </c>
      <c r="D46" s="200">
        <v>0</v>
      </c>
      <c r="E46" s="198" t="s">
        <v>213</v>
      </c>
      <c r="F46" s="84">
        <v>0</v>
      </c>
      <c r="G46" s="200">
        <v>0</v>
      </c>
      <c r="H46" s="198" t="s">
        <v>213</v>
      </c>
      <c r="I46" s="84">
        <v>0</v>
      </c>
      <c r="J46" s="200">
        <v>0</v>
      </c>
      <c r="K46" s="198" t="s">
        <v>213</v>
      </c>
      <c r="L46" s="84">
        <v>0</v>
      </c>
      <c r="M46" s="200">
        <v>0</v>
      </c>
      <c r="N46" s="198" t="s">
        <v>213</v>
      </c>
      <c r="O46" s="84">
        <v>0</v>
      </c>
      <c r="P46" s="200">
        <v>0</v>
      </c>
      <c r="Q46" s="198" t="s">
        <v>213</v>
      </c>
      <c r="R46" s="84">
        <v>0</v>
      </c>
      <c r="S46" s="200">
        <v>0</v>
      </c>
      <c r="T46" s="198" t="s">
        <v>213</v>
      </c>
      <c r="U46" s="84">
        <f t="shared" si="0"/>
        <v>0</v>
      </c>
      <c r="V46" s="84">
        <v>0</v>
      </c>
      <c r="W46" s="198">
        <v>0</v>
      </c>
      <c r="X46" s="84" t="s">
        <v>226</v>
      </c>
      <c r="Y46" s="84">
        <v>0</v>
      </c>
      <c r="Z46" s="198">
        <v>0</v>
      </c>
      <c r="AA46" s="84" t="s">
        <v>226</v>
      </c>
      <c r="AB46" s="84">
        <v>0</v>
      </c>
      <c r="AC46" s="198">
        <v>0</v>
      </c>
      <c r="AD46" s="84" t="s">
        <v>226</v>
      </c>
      <c r="AE46" s="84">
        <v>0</v>
      </c>
      <c r="AF46" s="198">
        <v>0</v>
      </c>
      <c r="AG46" s="84" t="s">
        <v>226</v>
      </c>
      <c r="AH46" s="84">
        <v>0</v>
      </c>
      <c r="AI46" s="198">
        <v>0</v>
      </c>
      <c r="AJ46" s="84" t="s">
        <v>226</v>
      </c>
      <c r="AK46" s="84">
        <v>0</v>
      </c>
      <c r="AL46" s="198">
        <v>0</v>
      </c>
      <c r="AM46" s="84" t="s">
        <v>226</v>
      </c>
      <c r="AN46" s="84">
        <f t="shared" si="1"/>
        <v>0</v>
      </c>
      <c r="AO46" s="202" t="e">
        <f t="shared" ref="AO46" si="23">+AN46/AN47</f>
        <v>#DIV/0!</v>
      </c>
    </row>
    <row r="47" spans="1:42" ht="35.25" customHeight="1" x14ac:dyDescent="0.25">
      <c r="A47" s="195"/>
      <c r="B47" s="85" t="s">
        <v>81</v>
      </c>
      <c r="C47" s="84">
        <v>0</v>
      </c>
      <c r="D47" s="201"/>
      <c r="E47" s="199"/>
      <c r="F47" s="84">
        <v>0</v>
      </c>
      <c r="G47" s="201"/>
      <c r="H47" s="199"/>
      <c r="I47" s="84">
        <v>0</v>
      </c>
      <c r="J47" s="201"/>
      <c r="K47" s="199"/>
      <c r="L47" s="84">
        <v>0</v>
      </c>
      <c r="M47" s="201"/>
      <c r="N47" s="199"/>
      <c r="O47" s="84">
        <v>0</v>
      </c>
      <c r="P47" s="201"/>
      <c r="Q47" s="199"/>
      <c r="R47" s="84">
        <v>0</v>
      </c>
      <c r="S47" s="201"/>
      <c r="T47" s="199"/>
      <c r="U47" s="84">
        <f t="shared" si="0"/>
        <v>0</v>
      </c>
      <c r="V47" s="84">
        <v>0</v>
      </c>
      <c r="W47" s="199"/>
      <c r="X47" s="84" t="s">
        <v>226</v>
      </c>
      <c r="Y47" s="84">
        <v>0</v>
      </c>
      <c r="Z47" s="199"/>
      <c r="AA47" s="84" t="s">
        <v>226</v>
      </c>
      <c r="AB47" s="84">
        <v>0</v>
      </c>
      <c r="AC47" s="199"/>
      <c r="AD47" s="84" t="s">
        <v>226</v>
      </c>
      <c r="AE47" s="84">
        <v>0</v>
      </c>
      <c r="AF47" s="199"/>
      <c r="AG47" s="84" t="s">
        <v>226</v>
      </c>
      <c r="AH47" s="84">
        <v>0</v>
      </c>
      <c r="AI47" s="199"/>
      <c r="AJ47" s="84" t="s">
        <v>226</v>
      </c>
      <c r="AK47" s="84">
        <v>0</v>
      </c>
      <c r="AL47" s="199"/>
      <c r="AM47" s="84" t="s">
        <v>226</v>
      </c>
      <c r="AN47" s="84">
        <f t="shared" si="1"/>
        <v>0</v>
      </c>
      <c r="AO47" s="202"/>
    </row>
    <row r="48" spans="1:42" ht="35.25" customHeight="1" x14ac:dyDescent="0.25">
      <c r="A48" s="195" t="s">
        <v>82</v>
      </c>
      <c r="B48" s="85" t="s">
        <v>83</v>
      </c>
      <c r="C48" s="84">
        <v>4</v>
      </c>
      <c r="D48" s="200">
        <f>C48/C49</f>
        <v>1.3114754098360656E-2</v>
      </c>
      <c r="E48" s="198"/>
      <c r="F48" s="84">
        <v>7</v>
      </c>
      <c r="G48" s="200">
        <f>F48/F49</f>
        <v>1.5021459227467811E-2</v>
      </c>
      <c r="H48" s="198"/>
      <c r="I48" s="84">
        <v>16</v>
      </c>
      <c r="J48" s="200">
        <f>I48/I49</f>
        <v>8.6021505376344093E-2</v>
      </c>
      <c r="K48" s="198"/>
      <c r="L48" s="84">
        <v>17</v>
      </c>
      <c r="M48" s="200">
        <f>L48/L49</f>
        <v>8.673469387755102E-2</v>
      </c>
      <c r="N48" s="198"/>
      <c r="O48" s="84">
        <v>0</v>
      </c>
      <c r="P48" s="200" t="e">
        <f>O48/O49</f>
        <v>#DIV/0!</v>
      </c>
      <c r="Q48" s="198" t="s">
        <v>174</v>
      </c>
      <c r="R48" s="84">
        <v>6</v>
      </c>
      <c r="S48" s="200">
        <f>R48/R49</f>
        <v>3.0303030303030304E-2</v>
      </c>
      <c r="T48" s="198"/>
      <c r="U48" s="84">
        <f t="shared" si="0"/>
        <v>50</v>
      </c>
      <c r="V48" s="84">
        <v>0</v>
      </c>
      <c r="W48" s="198">
        <v>0</v>
      </c>
      <c r="X48" s="93" t="s">
        <v>174</v>
      </c>
      <c r="Y48" s="84">
        <v>0</v>
      </c>
      <c r="Z48" s="198">
        <v>0</v>
      </c>
      <c r="AA48" s="93" t="s">
        <v>174</v>
      </c>
      <c r="AB48" s="84">
        <v>3</v>
      </c>
      <c r="AC48" s="207">
        <f>AB48/AB49</f>
        <v>3.0303030303030304E-2</v>
      </c>
      <c r="AD48" s="198" t="s">
        <v>259</v>
      </c>
      <c r="AE48" s="84">
        <v>6</v>
      </c>
      <c r="AF48" s="207">
        <f>AE48/AE49</f>
        <v>2.3166023166023165E-2</v>
      </c>
      <c r="AG48" s="198" t="s">
        <v>273</v>
      </c>
      <c r="AH48" s="84">
        <v>0</v>
      </c>
      <c r="AI48" s="207">
        <f>AH48/AH49</f>
        <v>0</v>
      </c>
      <c r="AJ48" s="198" t="s">
        <v>213</v>
      </c>
      <c r="AK48" s="84">
        <v>0</v>
      </c>
      <c r="AL48" s="207">
        <f>AK48/AK49</f>
        <v>0</v>
      </c>
      <c r="AM48" s="198" t="s">
        <v>213</v>
      </c>
      <c r="AN48" s="84">
        <f t="shared" si="1"/>
        <v>9</v>
      </c>
      <c r="AO48" s="202">
        <f t="shared" ref="AO48" si="24">+AN48/AN49</f>
        <v>2.0785219399538105E-2</v>
      </c>
    </row>
    <row r="49" spans="1:42" ht="35.25" customHeight="1" x14ac:dyDescent="0.25">
      <c r="A49" s="195"/>
      <c r="B49" s="85" t="s">
        <v>84</v>
      </c>
      <c r="C49" s="84">
        <f>142+163</f>
        <v>305</v>
      </c>
      <c r="D49" s="201"/>
      <c r="E49" s="199"/>
      <c r="F49" s="84">
        <f>60+406</f>
        <v>466</v>
      </c>
      <c r="G49" s="201"/>
      <c r="H49" s="199"/>
      <c r="I49" s="84">
        <v>186</v>
      </c>
      <c r="J49" s="201"/>
      <c r="K49" s="199"/>
      <c r="L49" s="84">
        <v>196</v>
      </c>
      <c r="M49" s="201"/>
      <c r="N49" s="199"/>
      <c r="O49" s="84">
        <v>0</v>
      </c>
      <c r="P49" s="201"/>
      <c r="Q49" s="199"/>
      <c r="R49" s="84">
        <v>198</v>
      </c>
      <c r="S49" s="201"/>
      <c r="T49" s="199"/>
      <c r="U49" s="84">
        <f t="shared" si="0"/>
        <v>1351</v>
      </c>
      <c r="V49" s="84">
        <v>0</v>
      </c>
      <c r="W49" s="199"/>
      <c r="X49" s="93" t="s">
        <v>174</v>
      </c>
      <c r="Y49" s="84">
        <v>0</v>
      </c>
      <c r="Z49" s="199"/>
      <c r="AA49" s="93" t="s">
        <v>174</v>
      </c>
      <c r="AB49" s="84">
        <v>99</v>
      </c>
      <c r="AC49" s="208"/>
      <c r="AD49" s="199"/>
      <c r="AE49" s="84">
        <v>259</v>
      </c>
      <c r="AF49" s="208"/>
      <c r="AG49" s="199"/>
      <c r="AH49" s="84">
        <v>36</v>
      </c>
      <c r="AI49" s="208"/>
      <c r="AJ49" s="199"/>
      <c r="AK49" s="84">
        <v>39</v>
      </c>
      <c r="AL49" s="208"/>
      <c r="AM49" s="199"/>
      <c r="AN49" s="84">
        <f t="shared" si="1"/>
        <v>433</v>
      </c>
      <c r="AO49" s="202"/>
      <c r="AP49" s="92">
        <f>+AO48*1000</f>
        <v>20.785219399538104</v>
      </c>
    </row>
    <row r="50" spans="1:42" ht="35.25" customHeight="1" x14ac:dyDescent="0.25">
      <c r="A50" s="195" t="s">
        <v>85</v>
      </c>
      <c r="B50" s="85" t="s">
        <v>86</v>
      </c>
      <c r="C50" s="84">
        <v>3</v>
      </c>
      <c r="D50" s="207">
        <f>C50/C51</f>
        <v>4.9019607843137254E-3</v>
      </c>
      <c r="E50" s="198"/>
      <c r="F50" s="84">
        <v>0</v>
      </c>
      <c r="G50" s="207">
        <f>F50/F51</f>
        <v>0</v>
      </c>
      <c r="H50" s="198"/>
      <c r="I50" s="84">
        <v>14</v>
      </c>
      <c r="J50" s="207">
        <f>I50/I51</f>
        <v>3.8043478260869568E-2</v>
      </c>
      <c r="K50" s="198"/>
      <c r="L50" s="84">
        <v>13</v>
      </c>
      <c r="M50" s="207">
        <f>L50/L51</f>
        <v>8.387096774193549E-2</v>
      </c>
      <c r="N50" s="198"/>
      <c r="O50" s="84">
        <v>0</v>
      </c>
      <c r="P50" s="207" t="e">
        <f>O50/O51</f>
        <v>#DIV/0!</v>
      </c>
      <c r="Q50" s="198" t="s">
        <v>174</v>
      </c>
      <c r="R50" s="84">
        <v>4</v>
      </c>
      <c r="S50" s="207">
        <f>R50/R51</f>
        <v>7.0796460176991149E-3</v>
      </c>
      <c r="T50" s="198"/>
      <c r="U50" s="84">
        <f t="shared" si="0"/>
        <v>34</v>
      </c>
      <c r="V50" s="84">
        <v>0</v>
      </c>
      <c r="W50" s="198">
        <v>0</v>
      </c>
      <c r="X50" s="93" t="s">
        <v>174</v>
      </c>
      <c r="Y50" s="84">
        <v>0</v>
      </c>
      <c r="Z50" s="198">
        <v>0</v>
      </c>
      <c r="AA50" s="93" t="s">
        <v>174</v>
      </c>
      <c r="AB50" s="84">
        <v>3</v>
      </c>
      <c r="AC50" s="207">
        <f>AB50/AB51</f>
        <v>2.6315789473684209E-2</v>
      </c>
      <c r="AD50" s="198" t="s">
        <v>260</v>
      </c>
      <c r="AE50" s="84">
        <v>2</v>
      </c>
      <c r="AF50" s="207">
        <f>AE50/AE51</f>
        <v>3.875968992248062E-3</v>
      </c>
      <c r="AG50" s="198" t="s">
        <v>274</v>
      </c>
      <c r="AH50" s="84">
        <v>4</v>
      </c>
      <c r="AI50" s="207">
        <f>AH50/AH51</f>
        <v>1.4234875444839857E-2</v>
      </c>
      <c r="AJ50" s="198" t="s">
        <v>304</v>
      </c>
      <c r="AK50" s="84">
        <v>1</v>
      </c>
      <c r="AL50" s="207">
        <f>AK50/AK51</f>
        <v>3.7735849056603774E-3</v>
      </c>
      <c r="AM50" s="198" t="s">
        <v>274</v>
      </c>
      <c r="AN50" s="84">
        <f t="shared" si="1"/>
        <v>10</v>
      </c>
      <c r="AO50" s="202">
        <f t="shared" ref="AO50" si="25">+AN50/AN51</f>
        <v>8.5034013605442185E-3</v>
      </c>
    </row>
    <row r="51" spans="1:42" ht="35.25" customHeight="1" x14ac:dyDescent="0.25">
      <c r="A51" s="195"/>
      <c r="B51" s="85" t="s">
        <v>87</v>
      </c>
      <c r="C51" s="84">
        <f>341+271</f>
        <v>612</v>
      </c>
      <c r="D51" s="208"/>
      <c r="E51" s="199"/>
      <c r="F51" s="84">
        <f>401+131</f>
        <v>532</v>
      </c>
      <c r="G51" s="208"/>
      <c r="H51" s="199"/>
      <c r="I51" s="84">
        <v>368</v>
      </c>
      <c r="J51" s="208"/>
      <c r="K51" s="199"/>
      <c r="L51" s="84">
        <v>155</v>
      </c>
      <c r="M51" s="208"/>
      <c r="N51" s="199"/>
      <c r="O51" s="84">
        <v>0</v>
      </c>
      <c r="P51" s="208"/>
      <c r="Q51" s="199"/>
      <c r="R51" s="84">
        <v>565</v>
      </c>
      <c r="S51" s="208"/>
      <c r="T51" s="199"/>
      <c r="U51" s="84">
        <f t="shared" si="0"/>
        <v>2232</v>
      </c>
      <c r="V51" s="84">
        <v>0</v>
      </c>
      <c r="W51" s="199"/>
      <c r="X51" s="93" t="s">
        <v>174</v>
      </c>
      <c r="Y51" s="84">
        <v>0</v>
      </c>
      <c r="Z51" s="199"/>
      <c r="AA51" s="93" t="s">
        <v>174</v>
      </c>
      <c r="AB51" s="84">
        <v>114</v>
      </c>
      <c r="AC51" s="208"/>
      <c r="AD51" s="199"/>
      <c r="AE51" s="84">
        <v>516</v>
      </c>
      <c r="AF51" s="208"/>
      <c r="AG51" s="199"/>
      <c r="AH51" s="84">
        <v>281</v>
      </c>
      <c r="AI51" s="208"/>
      <c r="AJ51" s="199"/>
      <c r="AK51" s="84">
        <v>265</v>
      </c>
      <c r="AL51" s="208"/>
      <c r="AM51" s="199"/>
      <c r="AN51" s="84">
        <f t="shared" si="1"/>
        <v>1176</v>
      </c>
      <c r="AO51" s="202"/>
      <c r="AP51" s="92">
        <f>+AO50*1000</f>
        <v>8.5034013605442187</v>
      </c>
    </row>
    <row r="52" spans="1:42" ht="35.25" customHeight="1" x14ac:dyDescent="0.25">
      <c r="A52" s="195" t="s">
        <v>88</v>
      </c>
      <c r="B52" s="85" t="s">
        <v>89</v>
      </c>
      <c r="C52" s="84">
        <v>2</v>
      </c>
      <c r="D52" s="207">
        <f>+C52/C53</f>
        <v>9.0497737556561094E-3</v>
      </c>
      <c r="E52" s="198"/>
      <c r="F52" s="84">
        <v>3</v>
      </c>
      <c r="G52" s="207">
        <f>+F52/F53</f>
        <v>4.2194092827004216E-3</v>
      </c>
      <c r="H52" s="198"/>
      <c r="I52" s="84">
        <v>24</v>
      </c>
      <c r="J52" s="207">
        <f>+I52/I53</f>
        <v>0.10859728506787331</v>
      </c>
      <c r="K52" s="198"/>
      <c r="L52" s="84">
        <v>18</v>
      </c>
      <c r="M52" s="207">
        <f>+L52/L53</f>
        <v>7.5949367088607597E-2</v>
      </c>
      <c r="N52" s="198"/>
      <c r="O52" s="84">
        <v>0</v>
      </c>
      <c r="P52" s="207" t="e">
        <f>+O52/O53</f>
        <v>#DIV/0!</v>
      </c>
      <c r="Q52" s="198" t="s">
        <v>174</v>
      </c>
      <c r="R52" s="84">
        <v>3</v>
      </c>
      <c r="S52" s="207">
        <f>+R52/R53</f>
        <v>1.098901098901099E-2</v>
      </c>
      <c r="T52" s="198"/>
      <c r="U52" s="84">
        <f t="shared" si="0"/>
        <v>50</v>
      </c>
      <c r="V52" s="84">
        <v>0</v>
      </c>
      <c r="W52" s="198">
        <v>0</v>
      </c>
      <c r="X52" s="93" t="s">
        <v>174</v>
      </c>
      <c r="Y52" s="84">
        <v>0</v>
      </c>
      <c r="Z52" s="198">
        <v>0</v>
      </c>
      <c r="AA52" s="93" t="s">
        <v>174</v>
      </c>
      <c r="AB52" s="84">
        <v>5</v>
      </c>
      <c r="AC52" s="207">
        <f>AB52/AB53</f>
        <v>5.8139534883720929E-2</v>
      </c>
      <c r="AD52" s="198" t="s">
        <v>261</v>
      </c>
      <c r="AE52" s="84">
        <v>1</v>
      </c>
      <c r="AF52" s="207">
        <f>AE52/AE53</f>
        <v>3.3670033670033669E-3</v>
      </c>
      <c r="AG52" s="198" t="s">
        <v>275</v>
      </c>
      <c r="AH52" s="84">
        <v>0</v>
      </c>
      <c r="AI52" s="207">
        <f>AH52/AH53</f>
        <v>0</v>
      </c>
      <c r="AJ52" s="198" t="s">
        <v>213</v>
      </c>
      <c r="AK52" s="84">
        <v>0</v>
      </c>
      <c r="AL52" s="207">
        <f>AK52/AK53</f>
        <v>0</v>
      </c>
      <c r="AM52" s="198" t="s">
        <v>213</v>
      </c>
      <c r="AN52" s="84">
        <f t="shared" si="1"/>
        <v>6</v>
      </c>
      <c r="AO52" s="202">
        <f t="shared" ref="AO52" si="26">+AN52/AN53</f>
        <v>9.0634441087613302E-3</v>
      </c>
    </row>
    <row r="53" spans="1:42" ht="35.25" customHeight="1" x14ac:dyDescent="0.25">
      <c r="A53" s="195"/>
      <c r="B53" s="85" t="s">
        <v>90</v>
      </c>
      <c r="C53" s="84">
        <v>221</v>
      </c>
      <c r="D53" s="208"/>
      <c r="E53" s="199"/>
      <c r="F53" s="84">
        <v>711</v>
      </c>
      <c r="G53" s="208"/>
      <c r="H53" s="199"/>
      <c r="I53" s="84">
        <v>221</v>
      </c>
      <c r="J53" s="208"/>
      <c r="K53" s="199"/>
      <c r="L53" s="84">
        <v>237</v>
      </c>
      <c r="M53" s="208"/>
      <c r="N53" s="199"/>
      <c r="O53" s="84">
        <v>0</v>
      </c>
      <c r="P53" s="208"/>
      <c r="Q53" s="199"/>
      <c r="R53" s="84">
        <v>273</v>
      </c>
      <c r="S53" s="208"/>
      <c r="T53" s="199"/>
      <c r="U53" s="84">
        <f t="shared" si="0"/>
        <v>1663</v>
      </c>
      <c r="V53" s="84">
        <v>0</v>
      </c>
      <c r="W53" s="199"/>
      <c r="X53" s="93" t="s">
        <v>174</v>
      </c>
      <c r="Y53" s="84">
        <v>0</v>
      </c>
      <c r="Z53" s="199"/>
      <c r="AA53" s="93" t="s">
        <v>174</v>
      </c>
      <c r="AB53" s="84">
        <v>86</v>
      </c>
      <c r="AC53" s="208"/>
      <c r="AD53" s="199"/>
      <c r="AE53" s="84">
        <v>297</v>
      </c>
      <c r="AF53" s="208"/>
      <c r="AG53" s="199"/>
      <c r="AH53" s="84">
        <v>141</v>
      </c>
      <c r="AI53" s="208"/>
      <c r="AJ53" s="199"/>
      <c r="AK53" s="84">
        <v>138</v>
      </c>
      <c r="AL53" s="208"/>
      <c r="AM53" s="199"/>
      <c r="AN53" s="84">
        <f t="shared" si="1"/>
        <v>662</v>
      </c>
      <c r="AO53" s="202"/>
      <c r="AP53" s="92">
        <f>+AO52*1000</f>
        <v>9.0634441087613293</v>
      </c>
    </row>
    <row r="54" spans="1:42" ht="35.25" customHeight="1" x14ac:dyDescent="0.25">
      <c r="A54" s="195" t="s">
        <v>91</v>
      </c>
      <c r="B54" s="85" t="s">
        <v>92</v>
      </c>
      <c r="C54" s="84">
        <v>0</v>
      </c>
      <c r="D54" s="207">
        <f>+C54/C55</f>
        <v>0</v>
      </c>
      <c r="E54" s="198"/>
      <c r="F54" s="84">
        <v>0</v>
      </c>
      <c r="G54" s="207">
        <f>+F54/F55</f>
        <v>0</v>
      </c>
      <c r="H54" s="198"/>
      <c r="I54" s="84">
        <v>0</v>
      </c>
      <c r="J54" s="207">
        <f>+I54/I55</f>
        <v>0</v>
      </c>
      <c r="K54" s="198"/>
      <c r="L54" s="84">
        <v>0</v>
      </c>
      <c r="M54" s="207">
        <f>+L54/L55</f>
        <v>0</v>
      </c>
      <c r="N54" s="198" t="s">
        <v>213</v>
      </c>
      <c r="O54" s="84">
        <v>0</v>
      </c>
      <c r="P54" s="207">
        <f>+O54/O55</f>
        <v>0</v>
      </c>
      <c r="Q54" s="198" t="s">
        <v>213</v>
      </c>
      <c r="R54" s="84">
        <v>0</v>
      </c>
      <c r="S54" s="207">
        <f>+R54/R55</f>
        <v>0</v>
      </c>
      <c r="T54" s="198" t="s">
        <v>213</v>
      </c>
      <c r="U54" s="84">
        <f t="shared" si="0"/>
        <v>0</v>
      </c>
      <c r="V54" s="84">
        <v>0</v>
      </c>
      <c r="W54" s="198">
        <v>0</v>
      </c>
      <c r="X54" s="84" t="s">
        <v>226</v>
      </c>
      <c r="Y54" s="84">
        <v>0</v>
      </c>
      <c r="Z54" s="198">
        <v>0</v>
      </c>
      <c r="AA54" s="84" t="s">
        <v>226</v>
      </c>
      <c r="AB54" s="84">
        <v>0</v>
      </c>
      <c r="AC54" s="198">
        <v>0</v>
      </c>
      <c r="AD54" s="84" t="s">
        <v>226</v>
      </c>
      <c r="AE54" s="84">
        <v>0</v>
      </c>
      <c r="AF54" s="198">
        <v>0</v>
      </c>
      <c r="AG54" s="84" t="s">
        <v>226</v>
      </c>
      <c r="AH54" s="84">
        <v>0</v>
      </c>
      <c r="AI54" s="198">
        <v>0</v>
      </c>
      <c r="AJ54" s="84" t="s">
        <v>226</v>
      </c>
      <c r="AK54" s="84">
        <v>0</v>
      </c>
      <c r="AL54" s="198">
        <v>0</v>
      </c>
      <c r="AM54" s="84" t="s">
        <v>226</v>
      </c>
      <c r="AN54" s="84">
        <f t="shared" si="1"/>
        <v>0</v>
      </c>
      <c r="AO54" s="202">
        <f t="shared" ref="AO54" si="27">+AN54/AN55</f>
        <v>0</v>
      </c>
    </row>
    <row r="55" spans="1:42" ht="35.25" customHeight="1" x14ac:dyDescent="0.25">
      <c r="A55" s="195"/>
      <c r="B55" s="85" t="s">
        <v>93</v>
      </c>
      <c r="C55" s="84">
        <v>148</v>
      </c>
      <c r="D55" s="208"/>
      <c r="E55" s="199"/>
      <c r="F55" s="84">
        <v>132</v>
      </c>
      <c r="G55" s="208"/>
      <c r="H55" s="199"/>
      <c r="I55" s="84">
        <v>156</v>
      </c>
      <c r="J55" s="208"/>
      <c r="K55" s="199"/>
      <c r="L55" s="84">
        <v>111</v>
      </c>
      <c r="M55" s="208"/>
      <c r="N55" s="199"/>
      <c r="O55" s="84">
        <v>113</v>
      </c>
      <c r="P55" s="208"/>
      <c r="Q55" s="199"/>
      <c r="R55" s="84">
        <v>124</v>
      </c>
      <c r="S55" s="208"/>
      <c r="T55" s="199"/>
      <c r="U55" s="84">
        <f t="shared" si="0"/>
        <v>784</v>
      </c>
      <c r="V55" s="84">
        <v>120</v>
      </c>
      <c r="W55" s="199"/>
      <c r="X55" s="93"/>
      <c r="Y55" s="84">
        <v>154</v>
      </c>
      <c r="Z55" s="199"/>
      <c r="AA55" s="93"/>
      <c r="AB55" s="84">
        <v>131</v>
      </c>
      <c r="AC55" s="199"/>
      <c r="AD55" s="93"/>
      <c r="AE55" s="84">
        <v>136</v>
      </c>
      <c r="AF55" s="199"/>
      <c r="AG55" s="93"/>
      <c r="AH55" s="84">
        <v>181</v>
      </c>
      <c r="AI55" s="199"/>
      <c r="AJ55" s="93"/>
      <c r="AK55" s="84">
        <v>142</v>
      </c>
      <c r="AL55" s="199"/>
      <c r="AM55" s="93"/>
      <c r="AN55" s="84">
        <f t="shared" si="1"/>
        <v>864</v>
      </c>
      <c r="AO55" s="202"/>
    </row>
    <row r="56" spans="1:42" ht="35.25" customHeight="1" x14ac:dyDescent="0.25">
      <c r="A56" s="195" t="s">
        <v>94</v>
      </c>
      <c r="B56" s="85" t="s">
        <v>95</v>
      </c>
      <c r="C56" s="84">
        <v>0</v>
      </c>
      <c r="D56" s="200">
        <f>+C56/C57</f>
        <v>0</v>
      </c>
      <c r="E56" s="198"/>
      <c r="F56" s="84">
        <v>0</v>
      </c>
      <c r="G56" s="200">
        <f>+F56/F57</f>
        <v>0</v>
      </c>
      <c r="H56" s="198"/>
      <c r="I56" s="84">
        <v>0</v>
      </c>
      <c r="J56" s="200">
        <f>+I56/I57</f>
        <v>0</v>
      </c>
      <c r="K56" s="198"/>
      <c r="L56" s="84">
        <v>0</v>
      </c>
      <c r="M56" s="200">
        <f>+L56/L57</f>
        <v>0</v>
      </c>
      <c r="N56" s="198" t="s">
        <v>213</v>
      </c>
      <c r="O56" s="84">
        <v>0</v>
      </c>
      <c r="P56" s="200">
        <f>+O56/O57</f>
        <v>0</v>
      </c>
      <c r="Q56" s="198" t="s">
        <v>213</v>
      </c>
      <c r="R56" s="84">
        <v>0</v>
      </c>
      <c r="S56" s="200">
        <f>+R56/R57</f>
        <v>0</v>
      </c>
      <c r="T56" s="198" t="s">
        <v>213</v>
      </c>
      <c r="U56" s="84">
        <f t="shared" si="0"/>
        <v>0</v>
      </c>
      <c r="V56" s="84">
        <v>0</v>
      </c>
      <c r="W56" s="198">
        <v>0</v>
      </c>
      <c r="X56" s="84" t="s">
        <v>226</v>
      </c>
      <c r="Y56" s="84">
        <v>0</v>
      </c>
      <c r="Z56" s="198">
        <v>0</v>
      </c>
      <c r="AA56" s="84" t="s">
        <v>226</v>
      </c>
      <c r="AB56" s="84">
        <v>0</v>
      </c>
      <c r="AC56" s="198">
        <v>0</v>
      </c>
      <c r="AD56" s="84" t="s">
        <v>226</v>
      </c>
      <c r="AE56" s="84">
        <v>0</v>
      </c>
      <c r="AF56" s="198">
        <v>0</v>
      </c>
      <c r="AG56" s="84" t="s">
        <v>226</v>
      </c>
      <c r="AH56" s="84">
        <v>0</v>
      </c>
      <c r="AI56" s="198">
        <v>0</v>
      </c>
      <c r="AJ56" s="84" t="s">
        <v>226</v>
      </c>
      <c r="AK56" s="84">
        <v>0</v>
      </c>
      <c r="AL56" s="198">
        <v>0</v>
      </c>
      <c r="AM56" s="84" t="s">
        <v>226</v>
      </c>
      <c r="AN56" s="84">
        <f t="shared" si="1"/>
        <v>0</v>
      </c>
      <c r="AO56" s="202">
        <f t="shared" ref="AO56" si="28">+AN56/AN57</f>
        <v>0</v>
      </c>
    </row>
    <row r="57" spans="1:42" ht="35.25" customHeight="1" x14ac:dyDescent="0.25">
      <c r="A57" s="195"/>
      <c r="B57" s="85" t="s">
        <v>93</v>
      </c>
      <c r="C57" s="84">
        <v>148</v>
      </c>
      <c r="D57" s="201"/>
      <c r="E57" s="199"/>
      <c r="F57" s="84">
        <v>132</v>
      </c>
      <c r="G57" s="201"/>
      <c r="H57" s="199"/>
      <c r="I57" s="84">
        <v>156</v>
      </c>
      <c r="J57" s="201"/>
      <c r="K57" s="199"/>
      <c r="L57" s="84">
        <v>111</v>
      </c>
      <c r="M57" s="201"/>
      <c r="N57" s="199"/>
      <c r="O57" s="84">
        <v>113</v>
      </c>
      <c r="P57" s="201"/>
      <c r="Q57" s="199"/>
      <c r="R57" s="84">
        <v>124</v>
      </c>
      <c r="S57" s="201"/>
      <c r="T57" s="199"/>
      <c r="U57" s="84">
        <f t="shared" si="0"/>
        <v>784</v>
      </c>
      <c r="V57" s="84">
        <v>120</v>
      </c>
      <c r="W57" s="199"/>
      <c r="X57" s="93"/>
      <c r="Y57" s="84">
        <v>154</v>
      </c>
      <c r="Z57" s="199"/>
      <c r="AA57" s="93"/>
      <c r="AB57" s="84">
        <v>131</v>
      </c>
      <c r="AC57" s="199"/>
      <c r="AD57" s="93"/>
      <c r="AE57" s="84">
        <v>136</v>
      </c>
      <c r="AF57" s="199"/>
      <c r="AG57" s="93"/>
      <c r="AH57" s="84">
        <v>181</v>
      </c>
      <c r="AI57" s="199"/>
      <c r="AJ57" s="93"/>
      <c r="AK57" s="84">
        <v>142</v>
      </c>
      <c r="AL57" s="199"/>
      <c r="AM57" s="93"/>
      <c r="AN57" s="84">
        <f t="shared" si="1"/>
        <v>864</v>
      </c>
      <c r="AO57" s="202"/>
    </row>
    <row r="58" spans="1:42" ht="35.25" customHeight="1" x14ac:dyDescent="0.25">
      <c r="A58" s="195" t="s">
        <v>96</v>
      </c>
      <c r="B58" s="85" t="s">
        <v>97</v>
      </c>
      <c r="C58" s="94">
        <v>0</v>
      </c>
      <c r="D58" s="209">
        <f>+C58/C59</f>
        <v>0</v>
      </c>
      <c r="E58" s="198" t="s">
        <v>218</v>
      </c>
      <c r="F58" s="94">
        <v>0</v>
      </c>
      <c r="G58" s="209">
        <f>+F58/F59</f>
        <v>0</v>
      </c>
      <c r="H58" s="198" t="s">
        <v>218</v>
      </c>
      <c r="I58" s="94">
        <v>1</v>
      </c>
      <c r="J58" s="209">
        <f>+I58/I59</f>
        <v>2.5252525252525253E-4</v>
      </c>
      <c r="K58" s="198"/>
      <c r="L58" s="94">
        <v>0</v>
      </c>
      <c r="M58" s="209">
        <f>+L58/L59</f>
        <v>0</v>
      </c>
      <c r="N58" s="198" t="s">
        <v>213</v>
      </c>
      <c r="O58" s="94">
        <v>0</v>
      </c>
      <c r="P58" s="209">
        <f>+O58/O59</f>
        <v>0</v>
      </c>
      <c r="Q58" s="198" t="s">
        <v>213</v>
      </c>
      <c r="R58" s="94">
        <v>0</v>
      </c>
      <c r="S58" s="209">
        <f>+R58/R59</f>
        <v>0</v>
      </c>
      <c r="T58" s="198" t="s">
        <v>213</v>
      </c>
      <c r="U58" s="94">
        <f t="shared" si="0"/>
        <v>1</v>
      </c>
      <c r="V58" s="94">
        <v>0</v>
      </c>
      <c r="W58" s="198">
        <v>0</v>
      </c>
      <c r="X58" s="84" t="s">
        <v>227</v>
      </c>
      <c r="Y58" s="84">
        <v>0</v>
      </c>
      <c r="Z58" s="198">
        <v>0</v>
      </c>
      <c r="AA58" s="84" t="s">
        <v>227</v>
      </c>
      <c r="AB58" s="84">
        <v>0</v>
      </c>
      <c r="AC58" s="198">
        <v>0</v>
      </c>
      <c r="AD58" s="84" t="s">
        <v>227</v>
      </c>
      <c r="AE58" s="84">
        <v>2</v>
      </c>
      <c r="AF58" s="211">
        <f>AE58/AE59</f>
        <v>4.8169556840077071E-4</v>
      </c>
      <c r="AG58" s="198" t="s">
        <v>282</v>
      </c>
      <c r="AH58" s="84">
        <v>1</v>
      </c>
      <c r="AI58" s="211">
        <f>AH58/AH59</f>
        <v>2.5252525252525253E-4</v>
      </c>
      <c r="AJ58" s="198" t="s">
        <v>305</v>
      </c>
      <c r="AK58" s="84">
        <v>0</v>
      </c>
      <c r="AL58" s="211">
        <v>0</v>
      </c>
      <c r="AM58" s="84" t="s">
        <v>227</v>
      </c>
      <c r="AN58" s="84">
        <f t="shared" si="1"/>
        <v>3</v>
      </c>
      <c r="AO58" s="202">
        <f t="shared" ref="AO58" si="29">+AN58/AN59</f>
        <v>1.268284433922381E-4</v>
      </c>
      <c r="AP58" s="92">
        <f>+AO58*1000</f>
        <v>0.12682844339223809</v>
      </c>
    </row>
    <row r="59" spans="1:42" ht="35.25" customHeight="1" x14ac:dyDescent="0.25">
      <c r="A59" s="195"/>
      <c r="B59" s="85" t="s">
        <v>98</v>
      </c>
      <c r="C59" s="94">
        <v>3397</v>
      </c>
      <c r="D59" s="210"/>
      <c r="E59" s="199"/>
      <c r="F59" s="94">
        <v>3974</v>
      </c>
      <c r="G59" s="210"/>
      <c r="H59" s="199"/>
      <c r="I59" s="94">
        <v>3960</v>
      </c>
      <c r="J59" s="210"/>
      <c r="K59" s="199"/>
      <c r="L59" s="94">
        <v>3344</v>
      </c>
      <c r="M59" s="210"/>
      <c r="N59" s="199"/>
      <c r="O59" s="94">
        <v>4163</v>
      </c>
      <c r="P59" s="210"/>
      <c r="Q59" s="199"/>
      <c r="R59" s="94">
        <v>3544</v>
      </c>
      <c r="S59" s="210"/>
      <c r="T59" s="199"/>
      <c r="U59" s="94">
        <f t="shared" si="0"/>
        <v>22382</v>
      </c>
      <c r="V59" s="94">
        <v>3977</v>
      </c>
      <c r="W59" s="199"/>
      <c r="X59" s="93"/>
      <c r="Y59" s="84">
        <v>3901</v>
      </c>
      <c r="Z59" s="199"/>
      <c r="AA59" s="93"/>
      <c r="AB59" s="84">
        <v>3666</v>
      </c>
      <c r="AC59" s="199"/>
      <c r="AD59" s="93"/>
      <c r="AE59" s="84">
        <v>4152</v>
      </c>
      <c r="AF59" s="212"/>
      <c r="AG59" s="199"/>
      <c r="AH59" s="84">
        <v>3960</v>
      </c>
      <c r="AI59" s="212"/>
      <c r="AJ59" s="199"/>
      <c r="AK59" s="84">
        <v>3998</v>
      </c>
      <c r="AL59" s="212"/>
      <c r="AM59" s="93"/>
      <c r="AN59" s="84">
        <f t="shared" si="1"/>
        <v>23654</v>
      </c>
      <c r="AO59" s="202"/>
    </row>
    <row r="60" spans="1:42" ht="35.25" customHeight="1" x14ac:dyDescent="0.25">
      <c r="A60" s="195" t="s">
        <v>99</v>
      </c>
      <c r="B60" s="85" t="s">
        <v>100</v>
      </c>
      <c r="C60" s="84">
        <v>0</v>
      </c>
      <c r="D60" s="209">
        <f>+C60/C61</f>
        <v>0</v>
      </c>
      <c r="E60" s="198" t="s">
        <v>218</v>
      </c>
      <c r="F60" s="84">
        <v>0</v>
      </c>
      <c r="G60" s="209">
        <f>+F60/F61</f>
        <v>0</v>
      </c>
      <c r="H60" s="198" t="s">
        <v>218</v>
      </c>
      <c r="I60" s="84">
        <v>0</v>
      </c>
      <c r="J60" s="209">
        <f>+I60/I61</f>
        <v>0</v>
      </c>
      <c r="K60" s="198"/>
      <c r="L60" s="84">
        <v>0</v>
      </c>
      <c r="M60" s="209">
        <f>+L60/L61</f>
        <v>0</v>
      </c>
      <c r="N60" s="198" t="s">
        <v>213</v>
      </c>
      <c r="O60" s="84">
        <v>0</v>
      </c>
      <c r="P60" s="209">
        <f>+O60/O61</f>
        <v>0</v>
      </c>
      <c r="Q60" s="198" t="s">
        <v>213</v>
      </c>
      <c r="R60" s="84">
        <v>0</v>
      </c>
      <c r="S60" s="209">
        <f>+R60/R61</f>
        <v>0</v>
      </c>
      <c r="T60" s="198" t="s">
        <v>213</v>
      </c>
      <c r="U60" s="84">
        <f t="shared" si="0"/>
        <v>0</v>
      </c>
      <c r="V60" s="84">
        <v>0</v>
      </c>
      <c r="W60" s="198">
        <v>0</v>
      </c>
      <c r="X60" s="84" t="s">
        <v>227</v>
      </c>
      <c r="Y60" s="84">
        <v>0</v>
      </c>
      <c r="Z60" s="198">
        <v>0</v>
      </c>
      <c r="AA60" s="84" t="s">
        <v>227</v>
      </c>
      <c r="AB60" s="84">
        <v>1</v>
      </c>
      <c r="AC60" s="207">
        <f>AB60/AB61</f>
        <v>7.5585789871504159E-4</v>
      </c>
      <c r="AD60" s="198" t="s">
        <v>262</v>
      </c>
      <c r="AE60" s="84">
        <v>1</v>
      </c>
      <c r="AF60" s="207">
        <f>AE60/AE61</f>
        <v>7.1942446043165469E-4</v>
      </c>
      <c r="AG60" s="198" t="s">
        <v>283</v>
      </c>
      <c r="AH60" s="84">
        <v>0</v>
      </c>
      <c r="AI60" s="207">
        <f>AH60/AH61</f>
        <v>0</v>
      </c>
      <c r="AJ60" s="84" t="s">
        <v>227</v>
      </c>
      <c r="AK60" s="84">
        <v>0</v>
      </c>
      <c r="AL60" s="207">
        <f>AK60/AK61</f>
        <v>0</v>
      </c>
      <c r="AM60" s="84" t="s">
        <v>227</v>
      </c>
      <c r="AN60" s="84">
        <f t="shared" si="1"/>
        <v>2</v>
      </c>
      <c r="AO60" s="202">
        <f t="shared" ref="AO60" si="30">+AN60/AN61</f>
        <v>2.3998080153587713E-4</v>
      </c>
      <c r="AP60" s="92">
        <f>+AO60*1000</f>
        <v>0.23998080153587714</v>
      </c>
    </row>
    <row r="61" spans="1:42" ht="35.25" customHeight="1" x14ac:dyDescent="0.25">
      <c r="A61" s="195"/>
      <c r="B61" s="85" t="s">
        <v>101</v>
      </c>
      <c r="C61" s="84">
        <v>1549</v>
      </c>
      <c r="D61" s="210"/>
      <c r="E61" s="199"/>
      <c r="F61" s="84">
        <v>1517</v>
      </c>
      <c r="G61" s="210"/>
      <c r="H61" s="199"/>
      <c r="I61" s="84">
        <v>1495</v>
      </c>
      <c r="J61" s="210"/>
      <c r="K61" s="199"/>
      <c r="L61" s="84">
        <v>1437</v>
      </c>
      <c r="M61" s="210"/>
      <c r="N61" s="199"/>
      <c r="O61" s="84">
        <v>1498</v>
      </c>
      <c r="P61" s="210"/>
      <c r="Q61" s="199"/>
      <c r="R61" s="84">
        <v>1432</v>
      </c>
      <c r="S61" s="210"/>
      <c r="T61" s="199"/>
      <c r="U61" s="84">
        <f t="shared" si="0"/>
        <v>8928</v>
      </c>
      <c r="V61" s="84">
        <v>1316</v>
      </c>
      <c r="W61" s="199"/>
      <c r="X61" s="93"/>
      <c r="Y61" s="84">
        <v>1488</v>
      </c>
      <c r="Z61" s="199"/>
      <c r="AA61" s="93"/>
      <c r="AB61" s="84">
        <v>1323</v>
      </c>
      <c r="AC61" s="208"/>
      <c r="AD61" s="199"/>
      <c r="AE61" s="84">
        <v>1390</v>
      </c>
      <c r="AF61" s="208"/>
      <c r="AG61" s="199"/>
      <c r="AH61" s="84">
        <v>1484</v>
      </c>
      <c r="AI61" s="208"/>
      <c r="AJ61" s="93"/>
      <c r="AK61" s="84">
        <v>1333</v>
      </c>
      <c r="AL61" s="208"/>
      <c r="AM61" s="93"/>
      <c r="AN61" s="84">
        <f t="shared" si="1"/>
        <v>8334</v>
      </c>
      <c r="AO61" s="202"/>
    </row>
    <row r="62" spans="1:42" ht="35.25" customHeight="1" x14ac:dyDescent="0.25">
      <c r="A62" s="195" t="s">
        <v>102</v>
      </c>
      <c r="B62" s="85" t="s">
        <v>103</v>
      </c>
      <c r="C62" s="84">
        <v>0</v>
      </c>
      <c r="D62" s="200">
        <f>+C62/C63</f>
        <v>0</v>
      </c>
      <c r="E62" s="198" t="s">
        <v>218</v>
      </c>
      <c r="F62" s="84">
        <v>0</v>
      </c>
      <c r="G62" s="200">
        <f>+F62/F63</f>
        <v>0</v>
      </c>
      <c r="H62" s="198" t="s">
        <v>218</v>
      </c>
      <c r="I62" s="84">
        <v>0</v>
      </c>
      <c r="J62" s="200">
        <f>+I62/I63</f>
        <v>0</v>
      </c>
      <c r="K62" s="198"/>
      <c r="L62" s="84">
        <v>0</v>
      </c>
      <c r="M62" s="200">
        <f>+L62/L63</f>
        <v>0</v>
      </c>
      <c r="N62" s="198" t="s">
        <v>213</v>
      </c>
      <c r="O62" s="84">
        <v>0</v>
      </c>
      <c r="P62" s="200">
        <f>+O62/O63</f>
        <v>0</v>
      </c>
      <c r="Q62" s="198" t="s">
        <v>213</v>
      </c>
      <c r="R62" s="84">
        <v>0</v>
      </c>
      <c r="S62" s="200">
        <f>+R62/R63</f>
        <v>0</v>
      </c>
      <c r="T62" s="198" t="s">
        <v>213</v>
      </c>
      <c r="U62" s="84">
        <f t="shared" si="0"/>
        <v>0</v>
      </c>
      <c r="V62" s="84">
        <v>0</v>
      </c>
      <c r="W62" s="198">
        <v>0</v>
      </c>
      <c r="X62" s="84" t="s">
        <v>227</v>
      </c>
      <c r="Y62" s="84">
        <v>0</v>
      </c>
      <c r="Z62" s="198">
        <v>0</v>
      </c>
      <c r="AA62" s="84" t="s">
        <v>227</v>
      </c>
      <c r="AB62" s="84">
        <v>0</v>
      </c>
      <c r="AC62" s="198">
        <v>0</v>
      </c>
      <c r="AD62" s="84"/>
      <c r="AE62" s="84">
        <v>1</v>
      </c>
      <c r="AF62" s="198">
        <v>0</v>
      </c>
      <c r="AG62" s="198" t="s">
        <v>276</v>
      </c>
      <c r="AH62" s="84">
        <v>0</v>
      </c>
      <c r="AI62" s="198">
        <v>0</v>
      </c>
      <c r="AJ62" s="84" t="s">
        <v>227</v>
      </c>
      <c r="AK62" s="84">
        <v>0</v>
      </c>
      <c r="AL62" s="198">
        <v>0</v>
      </c>
      <c r="AM62" s="84" t="s">
        <v>227</v>
      </c>
      <c r="AN62" s="84">
        <f t="shared" si="1"/>
        <v>1</v>
      </c>
      <c r="AO62" s="202">
        <f t="shared" ref="AO62" si="31">+AN62/AN63</f>
        <v>7.3217162102796898E-5</v>
      </c>
    </row>
    <row r="63" spans="1:42" ht="35.25" customHeight="1" x14ac:dyDescent="0.25">
      <c r="A63" s="195"/>
      <c r="B63" s="85" t="s">
        <v>104</v>
      </c>
      <c r="C63" s="84">
        <v>2197</v>
      </c>
      <c r="D63" s="201"/>
      <c r="E63" s="199"/>
      <c r="F63" s="84">
        <v>2776</v>
      </c>
      <c r="G63" s="201"/>
      <c r="H63" s="199"/>
      <c r="I63" s="84">
        <v>2705</v>
      </c>
      <c r="J63" s="201"/>
      <c r="K63" s="199"/>
      <c r="L63" s="84">
        <v>2910</v>
      </c>
      <c r="M63" s="201"/>
      <c r="N63" s="199"/>
      <c r="O63" s="84">
        <v>3180</v>
      </c>
      <c r="P63" s="201"/>
      <c r="Q63" s="199"/>
      <c r="R63" s="84">
        <v>2693</v>
      </c>
      <c r="S63" s="201"/>
      <c r="T63" s="199"/>
      <c r="U63" s="84">
        <f t="shared" si="0"/>
        <v>16461</v>
      </c>
      <c r="V63" s="84">
        <v>2975</v>
      </c>
      <c r="W63" s="199"/>
      <c r="X63" s="93"/>
      <c r="Y63" s="84"/>
      <c r="Z63" s="199"/>
      <c r="AA63" s="93"/>
      <c r="AB63" s="84">
        <v>3000</v>
      </c>
      <c r="AC63" s="199"/>
      <c r="AD63" s="93"/>
      <c r="AE63" s="84">
        <v>3626</v>
      </c>
      <c r="AF63" s="199"/>
      <c r="AG63" s="199"/>
      <c r="AH63" s="84">
        <v>3214</v>
      </c>
      <c r="AI63" s="199"/>
      <c r="AJ63" s="93"/>
      <c r="AK63" s="84">
        <v>843</v>
      </c>
      <c r="AL63" s="199"/>
      <c r="AM63" s="93"/>
      <c r="AN63" s="84">
        <f t="shared" si="1"/>
        <v>13658</v>
      </c>
      <c r="AO63" s="202"/>
      <c r="AP63" s="92">
        <f>+AO62*1000</f>
        <v>7.3217162102796898E-2</v>
      </c>
    </row>
    <row r="64" spans="1:42" ht="35.25" customHeight="1" x14ac:dyDescent="0.25">
      <c r="A64" s="195" t="s">
        <v>106</v>
      </c>
      <c r="B64" s="85" t="s">
        <v>107</v>
      </c>
      <c r="C64" s="84">
        <v>0</v>
      </c>
      <c r="D64" s="200">
        <f>+C64/C65</f>
        <v>0</v>
      </c>
      <c r="E64" s="198" t="s">
        <v>218</v>
      </c>
      <c r="F64" s="84">
        <v>0</v>
      </c>
      <c r="G64" s="200">
        <f>+F64/F65</f>
        <v>0</v>
      </c>
      <c r="H64" s="198" t="s">
        <v>218</v>
      </c>
      <c r="I64" s="84">
        <v>0</v>
      </c>
      <c r="J64" s="200">
        <f>+I64/I65</f>
        <v>0</v>
      </c>
      <c r="K64" s="198"/>
      <c r="L64" s="84">
        <v>0</v>
      </c>
      <c r="M64" s="200">
        <f>+L64/L65</f>
        <v>0</v>
      </c>
      <c r="N64" s="198" t="s">
        <v>213</v>
      </c>
      <c r="O64" s="84">
        <v>0</v>
      </c>
      <c r="P64" s="200" t="e">
        <f>+O64/O65</f>
        <v>#DIV/0!</v>
      </c>
      <c r="Q64" s="198" t="s">
        <v>213</v>
      </c>
      <c r="R64" s="84">
        <v>0</v>
      </c>
      <c r="S64" s="200" t="e">
        <f>+R64/R65</f>
        <v>#DIV/0!</v>
      </c>
      <c r="T64" s="198" t="s">
        <v>213</v>
      </c>
      <c r="U64" s="84">
        <f t="shared" si="0"/>
        <v>0</v>
      </c>
      <c r="V64" s="84">
        <v>0</v>
      </c>
      <c r="W64" s="198">
        <v>0</v>
      </c>
      <c r="X64" s="84" t="s">
        <v>227</v>
      </c>
      <c r="Y64" s="84">
        <v>0</v>
      </c>
      <c r="Z64" s="198">
        <v>0</v>
      </c>
      <c r="AA64" s="84" t="s">
        <v>227</v>
      </c>
      <c r="AB64" s="84">
        <v>0</v>
      </c>
      <c r="AC64" s="198">
        <v>0</v>
      </c>
      <c r="AD64" s="84" t="s">
        <v>227</v>
      </c>
      <c r="AE64" s="84">
        <v>0</v>
      </c>
      <c r="AF64" s="198">
        <v>0</v>
      </c>
      <c r="AG64" s="84" t="s">
        <v>227</v>
      </c>
      <c r="AH64" s="84">
        <v>0</v>
      </c>
      <c r="AI64" s="198">
        <v>0</v>
      </c>
      <c r="AJ64" s="84" t="s">
        <v>227</v>
      </c>
      <c r="AK64" s="84">
        <v>0</v>
      </c>
      <c r="AL64" s="198">
        <v>0</v>
      </c>
      <c r="AM64" s="84" t="s">
        <v>227</v>
      </c>
      <c r="AN64" s="84">
        <f t="shared" si="1"/>
        <v>0</v>
      </c>
      <c r="AO64" s="202">
        <f t="shared" ref="AO64" si="32">+AN64/AN65</f>
        <v>0</v>
      </c>
    </row>
    <row r="65" spans="1:42" ht="35.25" customHeight="1" x14ac:dyDescent="0.25">
      <c r="A65" s="195"/>
      <c r="B65" s="85" t="s">
        <v>108</v>
      </c>
      <c r="C65" s="84">
        <v>1287</v>
      </c>
      <c r="D65" s="201"/>
      <c r="E65" s="199"/>
      <c r="F65" s="84">
        <v>912</v>
      </c>
      <c r="G65" s="201"/>
      <c r="H65" s="199"/>
      <c r="I65" s="84">
        <v>921</v>
      </c>
      <c r="J65" s="201"/>
      <c r="K65" s="199"/>
      <c r="L65" s="84">
        <v>830</v>
      </c>
      <c r="M65" s="201"/>
      <c r="N65" s="199"/>
      <c r="O65" s="84"/>
      <c r="P65" s="201"/>
      <c r="Q65" s="199"/>
      <c r="R65" s="84"/>
      <c r="S65" s="201"/>
      <c r="T65" s="199"/>
      <c r="U65" s="84">
        <f t="shared" si="0"/>
        <v>3950</v>
      </c>
      <c r="V65" s="84">
        <v>894</v>
      </c>
      <c r="W65" s="199"/>
      <c r="X65" s="93"/>
      <c r="Y65" s="84">
        <v>822</v>
      </c>
      <c r="Z65" s="199"/>
      <c r="AA65" s="93"/>
      <c r="AB65" s="84">
        <v>731</v>
      </c>
      <c r="AC65" s="199"/>
      <c r="AD65" s="93"/>
      <c r="AE65" s="84">
        <v>2186</v>
      </c>
      <c r="AF65" s="199"/>
      <c r="AG65" s="93"/>
      <c r="AH65" s="84">
        <v>1987</v>
      </c>
      <c r="AI65" s="199"/>
      <c r="AJ65" s="93"/>
      <c r="AK65" s="84">
        <v>723</v>
      </c>
      <c r="AL65" s="199"/>
      <c r="AM65" s="93"/>
      <c r="AN65" s="84">
        <f t="shared" si="1"/>
        <v>7343</v>
      </c>
      <c r="AO65" s="202"/>
    </row>
    <row r="66" spans="1:42" ht="35.25" customHeight="1" x14ac:dyDescent="0.25">
      <c r="A66" s="195" t="s">
        <v>109</v>
      </c>
      <c r="B66" s="85" t="s">
        <v>110</v>
      </c>
      <c r="C66" s="84">
        <v>0</v>
      </c>
      <c r="D66" s="207">
        <f>+C66/C67</f>
        <v>0</v>
      </c>
      <c r="E66" s="198" t="s">
        <v>218</v>
      </c>
      <c r="F66" s="84">
        <v>0</v>
      </c>
      <c r="G66" s="207">
        <f>+F66/F67</f>
        <v>0</v>
      </c>
      <c r="H66" s="198" t="s">
        <v>218</v>
      </c>
      <c r="I66" s="84">
        <v>0</v>
      </c>
      <c r="J66" s="207">
        <f>+I66/I67</f>
        <v>0</v>
      </c>
      <c r="K66" s="198"/>
      <c r="L66" s="84">
        <v>0</v>
      </c>
      <c r="M66" s="207">
        <f>+L66/L67</f>
        <v>0</v>
      </c>
      <c r="N66" s="198" t="s">
        <v>213</v>
      </c>
      <c r="O66" s="84">
        <v>0</v>
      </c>
      <c r="P66" s="207">
        <f>+O66/O67</f>
        <v>0</v>
      </c>
      <c r="Q66" s="198" t="s">
        <v>213</v>
      </c>
      <c r="R66" s="84">
        <v>0</v>
      </c>
      <c r="S66" s="207">
        <f>+R66/R67</f>
        <v>0</v>
      </c>
      <c r="T66" s="198" t="s">
        <v>213</v>
      </c>
      <c r="U66" s="84">
        <f t="shared" si="0"/>
        <v>0</v>
      </c>
      <c r="V66" s="84">
        <v>0</v>
      </c>
      <c r="W66" s="198">
        <v>0</v>
      </c>
      <c r="X66" s="84" t="s">
        <v>227</v>
      </c>
      <c r="Y66" s="84">
        <v>0</v>
      </c>
      <c r="Z66" s="198">
        <v>0</v>
      </c>
      <c r="AA66" s="84" t="s">
        <v>227</v>
      </c>
      <c r="AB66" s="84">
        <v>0</v>
      </c>
      <c r="AC66" s="198">
        <v>0</v>
      </c>
      <c r="AD66" s="84" t="s">
        <v>228</v>
      </c>
      <c r="AE66" s="84">
        <v>0</v>
      </c>
      <c r="AF66" s="198">
        <v>0</v>
      </c>
      <c r="AG66" s="84" t="s">
        <v>228</v>
      </c>
      <c r="AH66" s="84">
        <v>0</v>
      </c>
      <c r="AI66" s="198">
        <v>0</v>
      </c>
      <c r="AJ66" s="84" t="s">
        <v>227</v>
      </c>
      <c r="AK66" s="84">
        <v>0</v>
      </c>
      <c r="AL66" s="198">
        <v>0</v>
      </c>
      <c r="AM66" s="84" t="s">
        <v>227</v>
      </c>
      <c r="AN66" s="84">
        <f t="shared" si="1"/>
        <v>0</v>
      </c>
      <c r="AO66" s="202">
        <f t="shared" ref="AO66" si="33">+AN66/AN67</f>
        <v>0</v>
      </c>
    </row>
    <row r="67" spans="1:42" ht="35.25" customHeight="1" x14ac:dyDescent="0.25">
      <c r="A67" s="195"/>
      <c r="B67" s="85" t="s">
        <v>111</v>
      </c>
      <c r="C67" s="84">
        <v>827</v>
      </c>
      <c r="D67" s="208"/>
      <c r="E67" s="199"/>
      <c r="F67" s="84">
        <v>884</v>
      </c>
      <c r="G67" s="208"/>
      <c r="H67" s="199"/>
      <c r="I67" s="84">
        <v>866</v>
      </c>
      <c r="J67" s="208"/>
      <c r="K67" s="199"/>
      <c r="L67" s="84">
        <v>792</v>
      </c>
      <c r="M67" s="208"/>
      <c r="N67" s="199"/>
      <c r="O67" s="84">
        <v>817</v>
      </c>
      <c r="P67" s="208"/>
      <c r="Q67" s="199"/>
      <c r="R67" s="84">
        <v>769</v>
      </c>
      <c r="S67" s="208"/>
      <c r="T67" s="199"/>
      <c r="U67" s="84">
        <f t="shared" ref="U67:U107" si="34">+C67+F67+I67+L67+O67+R67</f>
        <v>4955</v>
      </c>
      <c r="V67" s="84">
        <v>740</v>
      </c>
      <c r="W67" s="199"/>
      <c r="X67" s="93"/>
      <c r="Y67" s="84">
        <v>790</v>
      </c>
      <c r="Z67" s="199"/>
      <c r="AA67" s="93"/>
      <c r="AB67" s="84">
        <v>750</v>
      </c>
      <c r="AC67" s="199"/>
      <c r="AD67" s="93"/>
      <c r="AE67" s="84">
        <v>780</v>
      </c>
      <c r="AF67" s="199"/>
      <c r="AG67" s="93"/>
      <c r="AH67" s="84">
        <v>780</v>
      </c>
      <c r="AI67" s="199"/>
      <c r="AJ67" s="93"/>
      <c r="AK67" s="84">
        <v>750</v>
      </c>
      <c r="AL67" s="199"/>
      <c r="AM67" s="93"/>
      <c r="AN67" s="84">
        <f t="shared" ref="AN67:AN107" si="35">AK67+AH67+AE67+AB67+Y67+V67</f>
        <v>4590</v>
      </c>
      <c r="AO67" s="202"/>
    </row>
    <row r="68" spans="1:42" ht="35.25" customHeight="1" x14ac:dyDescent="0.25">
      <c r="A68" s="195" t="s">
        <v>112</v>
      </c>
      <c r="B68" s="85" t="s">
        <v>113</v>
      </c>
      <c r="C68" s="84">
        <v>0</v>
      </c>
      <c r="D68" s="200">
        <f>+C68/C69</f>
        <v>0</v>
      </c>
      <c r="E68" s="198" t="s">
        <v>218</v>
      </c>
      <c r="F68" s="84">
        <v>0</v>
      </c>
      <c r="G68" s="200">
        <f>+F68/F69</f>
        <v>0</v>
      </c>
      <c r="H68" s="198" t="s">
        <v>218</v>
      </c>
      <c r="I68" s="84">
        <v>0</v>
      </c>
      <c r="J68" s="200">
        <f>+I68/I69</f>
        <v>0</v>
      </c>
      <c r="K68" s="198"/>
      <c r="L68" s="84">
        <v>0</v>
      </c>
      <c r="M68" s="200">
        <f>+L68/L69</f>
        <v>0</v>
      </c>
      <c r="N68" s="198" t="s">
        <v>213</v>
      </c>
      <c r="O68" s="84">
        <v>0</v>
      </c>
      <c r="P68" s="200">
        <f>+O68/O69</f>
        <v>0</v>
      </c>
      <c r="Q68" s="198" t="s">
        <v>213</v>
      </c>
      <c r="R68" s="84">
        <v>0</v>
      </c>
      <c r="S68" s="200">
        <f>+R68/R69</f>
        <v>0</v>
      </c>
      <c r="T68" s="198" t="s">
        <v>213</v>
      </c>
      <c r="U68" s="84">
        <f t="shared" si="34"/>
        <v>0</v>
      </c>
      <c r="V68" s="84">
        <v>0</v>
      </c>
      <c r="W68" s="198">
        <v>0</v>
      </c>
      <c r="X68" s="84" t="s">
        <v>227</v>
      </c>
      <c r="Y68" s="84">
        <v>0</v>
      </c>
      <c r="Z68" s="198">
        <v>0</v>
      </c>
      <c r="AA68" s="84" t="s">
        <v>227</v>
      </c>
      <c r="AB68" s="84">
        <v>0</v>
      </c>
      <c r="AC68" s="198">
        <v>0</v>
      </c>
      <c r="AD68" s="84" t="s">
        <v>228</v>
      </c>
      <c r="AE68" s="84">
        <v>0</v>
      </c>
      <c r="AF68" s="198">
        <v>0</v>
      </c>
      <c r="AG68" s="84" t="s">
        <v>228</v>
      </c>
      <c r="AH68" s="84">
        <v>0</v>
      </c>
      <c r="AI68" s="198">
        <v>0</v>
      </c>
      <c r="AJ68" s="84" t="s">
        <v>227</v>
      </c>
      <c r="AK68" s="84">
        <v>0</v>
      </c>
      <c r="AL68" s="198">
        <v>0</v>
      </c>
      <c r="AM68" s="84" t="s">
        <v>227</v>
      </c>
      <c r="AN68" s="84">
        <f t="shared" si="35"/>
        <v>0</v>
      </c>
      <c r="AO68" s="202">
        <f t="shared" ref="AO68" si="36">+AN68/AN69</f>
        <v>0</v>
      </c>
    </row>
    <row r="69" spans="1:42" ht="35.25" customHeight="1" x14ac:dyDescent="0.25">
      <c r="A69" s="195"/>
      <c r="B69" s="85" t="s">
        <v>114</v>
      </c>
      <c r="C69" s="84">
        <v>1549</v>
      </c>
      <c r="D69" s="201"/>
      <c r="E69" s="199"/>
      <c r="F69" s="84">
        <v>1517</v>
      </c>
      <c r="G69" s="201"/>
      <c r="H69" s="199"/>
      <c r="I69" s="84">
        <v>1495</v>
      </c>
      <c r="J69" s="201"/>
      <c r="K69" s="199"/>
      <c r="L69" s="84">
        <v>1437</v>
      </c>
      <c r="M69" s="201"/>
      <c r="N69" s="199"/>
      <c r="O69" s="84">
        <v>1498</v>
      </c>
      <c r="P69" s="201"/>
      <c r="Q69" s="199"/>
      <c r="R69" s="84">
        <v>1432</v>
      </c>
      <c r="S69" s="201"/>
      <c r="T69" s="199"/>
      <c r="U69" s="84">
        <f t="shared" si="34"/>
        <v>8928</v>
      </c>
      <c r="V69" s="84">
        <v>1316</v>
      </c>
      <c r="W69" s="199"/>
      <c r="X69" s="93"/>
      <c r="Y69" s="84">
        <v>1488</v>
      </c>
      <c r="Z69" s="199"/>
      <c r="AA69" s="93"/>
      <c r="AB69" s="84">
        <v>1323</v>
      </c>
      <c r="AC69" s="199"/>
      <c r="AD69" s="93"/>
      <c r="AE69" s="84">
        <v>1390</v>
      </c>
      <c r="AF69" s="199"/>
      <c r="AG69" s="93"/>
      <c r="AH69" s="84">
        <v>1484</v>
      </c>
      <c r="AI69" s="199"/>
      <c r="AJ69" s="93"/>
      <c r="AK69" s="84">
        <v>1333</v>
      </c>
      <c r="AL69" s="199"/>
      <c r="AM69" s="93"/>
      <c r="AN69" s="84">
        <f t="shared" si="35"/>
        <v>8334</v>
      </c>
      <c r="AO69" s="202"/>
    </row>
    <row r="70" spans="1:42" ht="35.25" customHeight="1" x14ac:dyDescent="0.25">
      <c r="A70" s="195" t="s">
        <v>115</v>
      </c>
      <c r="B70" s="85" t="s">
        <v>116</v>
      </c>
      <c r="C70" s="84">
        <v>0</v>
      </c>
      <c r="D70" s="200">
        <v>0</v>
      </c>
      <c r="E70" s="198" t="s">
        <v>218</v>
      </c>
      <c r="F70" s="84">
        <v>0</v>
      </c>
      <c r="G70" s="200">
        <v>0</v>
      </c>
      <c r="H70" s="198" t="s">
        <v>218</v>
      </c>
      <c r="I70" s="84">
        <v>0</v>
      </c>
      <c r="J70" s="200">
        <v>0</v>
      </c>
      <c r="K70" s="198" t="s">
        <v>218</v>
      </c>
      <c r="L70" s="84">
        <v>0</v>
      </c>
      <c r="M70" s="200">
        <v>0</v>
      </c>
      <c r="N70" s="198" t="s">
        <v>218</v>
      </c>
      <c r="O70" s="84">
        <v>0</v>
      </c>
      <c r="P70" s="200">
        <v>0</v>
      </c>
      <c r="Q70" s="198" t="s">
        <v>218</v>
      </c>
      <c r="R70" s="84">
        <v>0</v>
      </c>
      <c r="S70" s="200">
        <v>0</v>
      </c>
      <c r="T70" s="198" t="s">
        <v>218</v>
      </c>
      <c r="U70" s="84">
        <f t="shared" si="34"/>
        <v>0</v>
      </c>
      <c r="V70" s="84">
        <v>0</v>
      </c>
      <c r="W70" s="198">
        <v>0</v>
      </c>
      <c r="X70" s="84" t="s">
        <v>228</v>
      </c>
      <c r="Y70" s="84">
        <v>0</v>
      </c>
      <c r="Z70" s="198">
        <v>0</v>
      </c>
      <c r="AA70" s="84" t="s">
        <v>228</v>
      </c>
      <c r="AB70" s="84">
        <v>0</v>
      </c>
      <c r="AC70" s="198">
        <v>0</v>
      </c>
      <c r="AD70" s="84" t="s">
        <v>228</v>
      </c>
      <c r="AE70" s="84">
        <v>0</v>
      </c>
      <c r="AF70" s="198">
        <v>0</v>
      </c>
      <c r="AG70" s="84" t="s">
        <v>228</v>
      </c>
      <c r="AH70" s="84">
        <v>0</v>
      </c>
      <c r="AI70" s="198">
        <v>0</v>
      </c>
      <c r="AJ70" s="84" t="s">
        <v>227</v>
      </c>
      <c r="AK70" s="84">
        <v>0</v>
      </c>
      <c r="AL70" s="198">
        <v>0</v>
      </c>
      <c r="AM70" s="84" t="s">
        <v>227</v>
      </c>
      <c r="AN70" s="84">
        <f t="shared" si="35"/>
        <v>0</v>
      </c>
      <c r="AO70" s="202">
        <f t="shared" ref="AO70" si="37">+AN70/AN71</f>
        <v>0</v>
      </c>
    </row>
    <row r="71" spans="1:42" ht="35.25" customHeight="1" x14ac:dyDescent="0.25">
      <c r="A71" s="195"/>
      <c r="B71" s="85" t="s">
        <v>117</v>
      </c>
      <c r="C71" s="94">
        <v>3397</v>
      </c>
      <c r="D71" s="201"/>
      <c r="E71" s="199"/>
      <c r="F71" s="94">
        <v>3974</v>
      </c>
      <c r="G71" s="201"/>
      <c r="H71" s="199"/>
      <c r="I71" s="94">
        <v>3960</v>
      </c>
      <c r="J71" s="201"/>
      <c r="K71" s="199"/>
      <c r="L71" s="94">
        <v>3344</v>
      </c>
      <c r="M71" s="201"/>
      <c r="N71" s="199"/>
      <c r="O71" s="94">
        <v>4163</v>
      </c>
      <c r="P71" s="201"/>
      <c r="Q71" s="199"/>
      <c r="R71" s="94">
        <v>3544</v>
      </c>
      <c r="S71" s="201"/>
      <c r="T71" s="199"/>
      <c r="U71" s="94">
        <f t="shared" si="34"/>
        <v>22382</v>
      </c>
      <c r="V71" s="94">
        <v>3977</v>
      </c>
      <c r="W71" s="199"/>
      <c r="X71" s="93"/>
      <c r="Y71" s="84">
        <v>3901</v>
      </c>
      <c r="Z71" s="199"/>
      <c r="AA71" s="93"/>
      <c r="AB71" s="84">
        <v>3666</v>
      </c>
      <c r="AC71" s="199"/>
      <c r="AD71" s="93"/>
      <c r="AE71" s="84">
        <v>4152</v>
      </c>
      <c r="AF71" s="199"/>
      <c r="AG71" s="93"/>
      <c r="AH71" s="84">
        <v>3960</v>
      </c>
      <c r="AI71" s="199"/>
      <c r="AJ71" s="93"/>
      <c r="AK71" s="84">
        <v>3998</v>
      </c>
      <c r="AL71" s="199"/>
      <c r="AM71" s="93"/>
      <c r="AN71" s="84">
        <f t="shared" si="35"/>
        <v>23654</v>
      </c>
      <c r="AO71" s="202"/>
    </row>
    <row r="72" spans="1:42" ht="35.25" customHeight="1" x14ac:dyDescent="0.25">
      <c r="A72" s="195" t="s">
        <v>118</v>
      </c>
      <c r="B72" s="85" t="s">
        <v>119</v>
      </c>
      <c r="C72" s="94">
        <v>0</v>
      </c>
      <c r="D72" s="200">
        <f>+C72/C73</f>
        <v>0</v>
      </c>
      <c r="E72" s="198" t="s">
        <v>214</v>
      </c>
      <c r="F72" s="94">
        <v>0</v>
      </c>
      <c r="G72" s="200">
        <f>+F72/F73</f>
        <v>0</v>
      </c>
      <c r="H72" s="198" t="s">
        <v>214</v>
      </c>
      <c r="I72" s="94">
        <v>0</v>
      </c>
      <c r="J72" s="200">
        <f>+I72/I73</f>
        <v>0</v>
      </c>
      <c r="K72" s="198" t="s">
        <v>214</v>
      </c>
      <c r="L72" s="94">
        <v>0</v>
      </c>
      <c r="M72" s="200">
        <f>+L72/L73</f>
        <v>0</v>
      </c>
      <c r="N72" s="198" t="s">
        <v>214</v>
      </c>
      <c r="O72" s="94">
        <v>0</v>
      </c>
      <c r="P72" s="200">
        <f>+O72/O73</f>
        <v>0</v>
      </c>
      <c r="Q72" s="198" t="s">
        <v>214</v>
      </c>
      <c r="R72" s="94">
        <v>0</v>
      </c>
      <c r="S72" s="200">
        <f>+R72/R73</f>
        <v>0</v>
      </c>
      <c r="T72" s="198" t="s">
        <v>214</v>
      </c>
      <c r="U72" s="94">
        <f t="shared" si="34"/>
        <v>0</v>
      </c>
      <c r="V72" s="94">
        <v>0</v>
      </c>
      <c r="W72" s="198">
        <v>0</v>
      </c>
      <c r="X72" s="84" t="s">
        <v>226</v>
      </c>
      <c r="Y72" s="84">
        <v>0</v>
      </c>
      <c r="Z72" s="198">
        <v>0</v>
      </c>
      <c r="AA72" s="84" t="s">
        <v>226</v>
      </c>
      <c r="AB72" s="84">
        <v>0</v>
      </c>
      <c r="AC72" s="198">
        <v>0</v>
      </c>
      <c r="AD72" s="84" t="s">
        <v>226</v>
      </c>
      <c r="AE72" s="84">
        <v>1</v>
      </c>
      <c r="AF72" s="198">
        <v>0</v>
      </c>
      <c r="AG72" s="198" t="s">
        <v>277</v>
      </c>
      <c r="AH72" s="84">
        <v>1</v>
      </c>
      <c r="AI72" s="198">
        <f>+AH72/AH73</f>
        <v>6.7385444743935314E-4</v>
      </c>
      <c r="AJ72" s="198" t="s">
        <v>306</v>
      </c>
      <c r="AK72" s="84">
        <v>0</v>
      </c>
      <c r="AL72" s="198">
        <v>0</v>
      </c>
      <c r="AM72" s="84" t="s">
        <v>227</v>
      </c>
      <c r="AN72" s="84">
        <f t="shared" si="35"/>
        <v>2</v>
      </c>
      <c r="AO72" s="202">
        <f t="shared" ref="AO72" si="38">+AN72/AN73</f>
        <v>2.3998080153587713E-4</v>
      </c>
      <c r="AP72" s="92">
        <f>+AO72*100</f>
        <v>2.3998080153587713E-2</v>
      </c>
    </row>
    <row r="73" spans="1:42" ht="35.25" customHeight="1" x14ac:dyDescent="0.25">
      <c r="A73" s="195"/>
      <c r="B73" s="85" t="s">
        <v>120</v>
      </c>
      <c r="C73" s="84">
        <v>1549</v>
      </c>
      <c r="D73" s="201"/>
      <c r="E73" s="199"/>
      <c r="F73" s="84">
        <v>1517</v>
      </c>
      <c r="G73" s="201"/>
      <c r="H73" s="199"/>
      <c r="I73" s="84">
        <v>1495</v>
      </c>
      <c r="J73" s="201"/>
      <c r="K73" s="199"/>
      <c r="L73" s="84">
        <v>1437</v>
      </c>
      <c r="M73" s="201"/>
      <c r="N73" s="199"/>
      <c r="O73" s="84">
        <v>1498</v>
      </c>
      <c r="P73" s="201"/>
      <c r="Q73" s="199"/>
      <c r="R73" s="84">
        <v>1432</v>
      </c>
      <c r="S73" s="201"/>
      <c r="T73" s="199"/>
      <c r="U73" s="84">
        <f t="shared" si="34"/>
        <v>8928</v>
      </c>
      <c r="V73" s="84">
        <v>1316</v>
      </c>
      <c r="W73" s="199"/>
      <c r="X73" s="93"/>
      <c r="Y73" s="84">
        <v>1488</v>
      </c>
      <c r="Z73" s="199"/>
      <c r="AA73" s="93"/>
      <c r="AB73" s="84">
        <v>1323</v>
      </c>
      <c r="AC73" s="199"/>
      <c r="AD73" s="93"/>
      <c r="AE73" s="84">
        <v>1390</v>
      </c>
      <c r="AF73" s="199"/>
      <c r="AG73" s="199"/>
      <c r="AH73" s="84">
        <v>1484</v>
      </c>
      <c r="AI73" s="199"/>
      <c r="AJ73" s="199"/>
      <c r="AK73" s="84">
        <v>1333</v>
      </c>
      <c r="AL73" s="199"/>
      <c r="AM73" s="93"/>
      <c r="AN73" s="84">
        <f t="shared" si="35"/>
        <v>8334</v>
      </c>
      <c r="AO73" s="202"/>
    </row>
    <row r="74" spans="1:42" ht="35.25" customHeight="1" x14ac:dyDescent="0.25">
      <c r="A74" s="195" t="s">
        <v>121</v>
      </c>
      <c r="B74" s="85" t="s">
        <v>122</v>
      </c>
      <c r="C74" s="94">
        <v>5</v>
      </c>
      <c r="D74" s="207">
        <f>(C74/C75)*1000</f>
        <v>6.2578222778473087</v>
      </c>
      <c r="E74" s="198"/>
      <c r="F74" s="94">
        <v>35</v>
      </c>
      <c r="G74" s="207">
        <f>(F74/F75)*1000</f>
        <v>40.697674418604656</v>
      </c>
      <c r="H74" s="198"/>
      <c r="I74" s="94">
        <v>23</v>
      </c>
      <c r="J74" s="207">
        <f>(I74/I75)*1000</f>
        <v>27.577937649880095</v>
      </c>
      <c r="K74" s="198"/>
      <c r="L74" s="94">
        <v>11</v>
      </c>
      <c r="M74" s="207">
        <f>(L74/L75)*1000</f>
        <v>14.322916666666666</v>
      </c>
      <c r="N74" s="198"/>
      <c r="O74" s="94">
        <v>8</v>
      </c>
      <c r="P74" s="207">
        <f>(O74/O75)*1000</f>
        <v>10.152284263959389</v>
      </c>
      <c r="Q74" s="198"/>
      <c r="R74" s="94">
        <v>1</v>
      </c>
      <c r="S74" s="207">
        <f>(R74/R75)*1000</f>
        <v>1.3477088948787064</v>
      </c>
      <c r="T74" s="198"/>
      <c r="U74" s="94">
        <f t="shared" si="34"/>
        <v>83</v>
      </c>
      <c r="V74" s="94">
        <v>7</v>
      </c>
      <c r="W74" s="207">
        <f>(V74/V75)*1000</f>
        <v>9.8176718092566624</v>
      </c>
      <c r="X74" s="198" t="s">
        <v>242</v>
      </c>
      <c r="Y74" s="84">
        <v>6</v>
      </c>
      <c r="Z74" s="207">
        <f>(Y74/Y75)*1000</f>
        <v>7.8534031413612562</v>
      </c>
      <c r="AA74" s="198" t="s">
        <v>243</v>
      </c>
      <c r="AB74" s="84">
        <v>6</v>
      </c>
      <c r="AC74" s="207">
        <f>(AB74/AB75)*1000</f>
        <v>8.3333333333333339</v>
      </c>
      <c r="AD74" s="198" t="s">
        <v>243</v>
      </c>
      <c r="AE74" s="84">
        <v>11</v>
      </c>
      <c r="AF74" s="207">
        <f>(AE74/AE75)*1000</f>
        <v>14.45466491458607</v>
      </c>
      <c r="AG74" s="198" t="s">
        <v>278</v>
      </c>
      <c r="AH74" s="84">
        <v>2</v>
      </c>
      <c r="AI74" s="207">
        <f>(AH74/AH75)*1000</f>
        <v>1.2135922330097086</v>
      </c>
      <c r="AJ74" s="198" t="s">
        <v>307</v>
      </c>
      <c r="AK74" s="84">
        <v>0</v>
      </c>
      <c r="AL74" s="207">
        <f>(AK74/AK75)*1000</f>
        <v>0</v>
      </c>
      <c r="AM74" s="84" t="s">
        <v>227</v>
      </c>
      <c r="AN74" s="84">
        <f t="shared" si="35"/>
        <v>32</v>
      </c>
      <c r="AO74" s="202">
        <f t="shared" ref="AO74" si="39">+AN74/AN75</f>
        <v>5.3926525109538256E-3</v>
      </c>
    </row>
    <row r="75" spans="1:42" ht="35.25" customHeight="1" x14ac:dyDescent="0.25">
      <c r="A75" s="195"/>
      <c r="B75" s="85" t="s">
        <v>123</v>
      </c>
      <c r="C75" s="94">
        <v>799</v>
      </c>
      <c r="D75" s="208"/>
      <c r="E75" s="199"/>
      <c r="F75" s="94">
        <v>860</v>
      </c>
      <c r="G75" s="208"/>
      <c r="H75" s="199"/>
      <c r="I75" s="94">
        <v>834</v>
      </c>
      <c r="J75" s="208"/>
      <c r="K75" s="199"/>
      <c r="L75" s="94">
        <v>768</v>
      </c>
      <c r="M75" s="208"/>
      <c r="N75" s="199"/>
      <c r="O75" s="94">
        <v>788</v>
      </c>
      <c r="P75" s="208"/>
      <c r="Q75" s="199"/>
      <c r="R75" s="94">
        <v>742</v>
      </c>
      <c r="S75" s="208"/>
      <c r="T75" s="199"/>
      <c r="U75" s="94">
        <f t="shared" si="34"/>
        <v>4791</v>
      </c>
      <c r="V75" s="94">
        <v>713</v>
      </c>
      <c r="W75" s="208"/>
      <c r="X75" s="199"/>
      <c r="Y75" s="84">
        <v>764</v>
      </c>
      <c r="Z75" s="208"/>
      <c r="AA75" s="199"/>
      <c r="AB75" s="84">
        <v>720</v>
      </c>
      <c r="AC75" s="208"/>
      <c r="AD75" s="199"/>
      <c r="AE75" s="84">
        <v>761</v>
      </c>
      <c r="AF75" s="208"/>
      <c r="AG75" s="199"/>
      <c r="AH75" s="84">
        <v>1648</v>
      </c>
      <c r="AI75" s="208"/>
      <c r="AJ75" s="199"/>
      <c r="AK75" s="84">
        <v>1328</v>
      </c>
      <c r="AL75" s="208"/>
      <c r="AM75" s="93"/>
      <c r="AN75" s="84">
        <f t="shared" si="35"/>
        <v>5934</v>
      </c>
      <c r="AO75" s="202"/>
      <c r="AP75" s="92">
        <f>+AO74*1000</f>
        <v>5.3926525109538259</v>
      </c>
    </row>
    <row r="76" spans="1:42" ht="35.25" customHeight="1" x14ac:dyDescent="0.25">
      <c r="A76" s="195" t="s">
        <v>124</v>
      </c>
      <c r="B76" s="85" t="s">
        <v>125</v>
      </c>
      <c r="C76" s="94">
        <v>8</v>
      </c>
      <c r="D76" s="207">
        <f>+C76/C77</f>
        <v>2.185792349726776E-2</v>
      </c>
      <c r="E76" s="198" t="s">
        <v>215</v>
      </c>
      <c r="F76" s="94">
        <v>4</v>
      </c>
      <c r="G76" s="207">
        <f>+F76/F77</f>
        <v>9.1324200913242004E-3</v>
      </c>
      <c r="H76" s="198" t="s">
        <v>217</v>
      </c>
      <c r="I76" s="94">
        <v>13</v>
      </c>
      <c r="J76" s="207">
        <f>+I76/I77</f>
        <v>3.439153439153439E-2</v>
      </c>
      <c r="K76" s="198" t="s">
        <v>219</v>
      </c>
      <c r="L76" s="94">
        <v>6</v>
      </c>
      <c r="M76" s="207">
        <f>+L76/L77</f>
        <v>1.2578616352201259E-2</v>
      </c>
      <c r="N76" s="198"/>
      <c r="O76" s="94">
        <v>7</v>
      </c>
      <c r="P76" s="207">
        <f>+O76/O77</f>
        <v>1.289134438305709E-2</v>
      </c>
      <c r="Q76" s="198"/>
      <c r="R76" s="94">
        <v>9</v>
      </c>
      <c r="S76" s="207">
        <f>+R76/R77</f>
        <v>2.1582733812949641E-2</v>
      </c>
      <c r="T76" s="198"/>
      <c r="U76" s="94">
        <f t="shared" si="34"/>
        <v>47</v>
      </c>
      <c r="V76" s="94">
        <v>4</v>
      </c>
      <c r="W76" s="205">
        <f>V76/V77</f>
        <v>7.5901328273244783E-3</v>
      </c>
      <c r="X76" s="198" t="s">
        <v>245</v>
      </c>
      <c r="Y76" s="84">
        <v>5</v>
      </c>
      <c r="Z76" s="205">
        <f>Y76/Y77</f>
        <v>8.1168831168831161E-3</v>
      </c>
      <c r="AA76" s="198" t="s">
        <v>244</v>
      </c>
      <c r="AB76" s="84">
        <v>0</v>
      </c>
      <c r="AC76" s="205">
        <f>AB76/AB77</f>
        <v>0</v>
      </c>
      <c r="AD76" s="198" t="s">
        <v>263</v>
      </c>
      <c r="AE76" s="84">
        <v>3</v>
      </c>
      <c r="AF76" s="205">
        <f>AE76/AE77</f>
        <v>5.0000000000000001E-3</v>
      </c>
      <c r="AG76" s="198" t="s">
        <v>280</v>
      </c>
      <c r="AH76" s="84">
        <v>12</v>
      </c>
      <c r="AI76" s="205">
        <f>AH76/AH77</f>
        <v>2.3166023166023165E-2</v>
      </c>
      <c r="AJ76" s="198" t="s">
        <v>308</v>
      </c>
      <c r="AK76" s="84">
        <v>0</v>
      </c>
      <c r="AL76" s="205">
        <f>AK76/AK77</f>
        <v>0</v>
      </c>
      <c r="AM76" s="84" t="s">
        <v>227</v>
      </c>
      <c r="AN76" s="84">
        <v>76</v>
      </c>
      <c r="AO76" s="202">
        <f t="shared" ref="AO76" si="40">+AN76/AN77</f>
        <v>1.3944954128440367E-2</v>
      </c>
    </row>
    <row r="77" spans="1:42" ht="35.25" customHeight="1" x14ac:dyDescent="0.25">
      <c r="A77" s="195"/>
      <c r="B77" s="85" t="s">
        <v>126</v>
      </c>
      <c r="C77" s="94">
        <f>342+24</f>
        <v>366</v>
      </c>
      <c r="D77" s="208"/>
      <c r="E77" s="199"/>
      <c r="F77" s="94">
        <f>434+4</f>
        <v>438</v>
      </c>
      <c r="G77" s="208"/>
      <c r="H77" s="199"/>
      <c r="I77" s="94">
        <f>356+22</f>
        <v>378</v>
      </c>
      <c r="J77" s="208"/>
      <c r="K77" s="199"/>
      <c r="L77" s="94">
        <f>466+11</f>
        <v>477</v>
      </c>
      <c r="M77" s="208"/>
      <c r="N77" s="199"/>
      <c r="O77" s="94">
        <f>509+34</f>
        <v>543</v>
      </c>
      <c r="P77" s="208"/>
      <c r="Q77" s="199"/>
      <c r="R77" s="94">
        <f>379+38</f>
        <v>417</v>
      </c>
      <c r="S77" s="208"/>
      <c r="T77" s="199"/>
      <c r="U77" s="94">
        <f t="shared" si="34"/>
        <v>2619</v>
      </c>
      <c r="V77" s="94">
        <f>505+22</f>
        <v>527</v>
      </c>
      <c r="W77" s="206"/>
      <c r="X77" s="199"/>
      <c r="Y77" s="84">
        <f>563+53</f>
        <v>616</v>
      </c>
      <c r="Z77" s="206"/>
      <c r="AA77" s="199"/>
      <c r="AB77" s="84">
        <v>500</v>
      </c>
      <c r="AC77" s="206"/>
      <c r="AD77" s="199"/>
      <c r="AE77" s="84">
        <f>17+583</f>
        <v>600</v>
      </c>
      <c r="AF77" s="206"/>
      <c r="AG77" s="199"/>
      <c r="AH77" s="84">
        <v>518</v>
      </c>
      <c r="AI77" s="206"/>
      <c r="AJ77" s="199"/>
      <c r="AK77" s="84">
        <v>42</v>
      </c>
      <c r="AL77" s="206"/>
      <c r="AM77" s="93"/>
      <c r="AN77" s="84">
        <f>276+5174</f>
        <v>5450</v>
      </c>
      <c r="AO77" s="202"/>
      <c r="AP77" s="92">
        <f>+AO76*100</f>
        <v>1.3944954128440368</v>
      </c>
    </row>
    <row r="78" spans="1:42" ht="35.25" customHeight="1" x14ac:dyDescent="0.25">
      <c r="A78" s="195" t="s">
        <v>127</v>
      </c>
      <c r="B78" s="85" t="s">
        <v>128</v>
      </c>
      <c r="C78" s="84" t="s">
        <v>47</v>
      </c>
      <c r="D78" s="200" t="s">
        <v>47</v>
      </c>
      <c r="E78" s="198"/>
      <c r="F78" s="84"/>
      <c r="G78" s="200" t="s">
        <v>47</v>
      </c>
      <c r="H78" s="198"/>
      <c r="I78" s="84"/>
      <c r="J78" s="200" t="s">
        <v>47</v>
      </c>
      <c r="K78" s="198"/>
      <c r="L78" s="84"/>
      <c r="M78" s="200" t="s">
        <v>47</v>
      </c>
      <c r="N78" s="198"/>
      <c r="O78" s="84"/>
      <c r="P78" s="200" t="s">
        <v>47</v>
      </c>
      <c r="Q78" s="198"/>
      <c r="R78" s="84"/>
      <c r="S78" s="200" t="s">
        <v>47</v>
      </c>
      <c r="T78" s="198"/>
      <c r="U78" s="84" t="e">
        <f t="shared" si="34"/>
        <v>#VALUE!</v>
      </c>
      <c r="V78" s="84"/>
      <c r="W78" s="198"/>
      <c r="X78" s="93"/>
      <c r="Y78" s="84"/>
      <c r="Z78" s="198"/>
      <c r="AA78" s="93"/>
      <c r="AB78" s="84"/>
      <c r="AC78" s="198"/>
      <c r="AD78" s="93"/>
      <c r="AE78" s="84"/>
      <c r="AF78" s="198"/>
      <c r="AG78" s="93"/>
      <c r="AH78" s="84"/>
      <c r="AI78" s="198"/>
      <c r="AJ78" s="93"/>
      <c r="AK78" s="84"/>
      <c r="AL78" s="198"/>
      <c r="AM78" s="93"/>
      <c r="AN78" s="84">
        <f t="shared" si="35"/>
        <v>0</v>
      </c>
      <c r="AO78" s="202" t="e">
        <f t="shared" ref="AO78" si="41">+AN78/AN79</f>
        <v>#DIV/0!</v>
      </c>
    </row>
    <row r="79" spans="1:42" ht="35.25" customHeight="1" x14ac:dyDescent="0.25">
      <c r="A79" s="195"/>
      <c r="B79" s="85" t="s">
        <v>129</v>
      </c>
      <c r="C79" s="84" t="s">
        <v>47</v>
      </c>
      <c r="D79" s="201"/>
      <c r="E79" s="199"/>
      <c r="F79" s="84"/>
      <c r="G79" s="201"/>
      <c r="H79" s="199"/>
      <c r="I79" s="84"/>
      <c r="J79" s="201"/>
      <c r="K79" s="199"/>
      <c r="L79" s="84"/>
      <c r="M79" s="201"/>
      <c r="N79" s="199"/>
      <c r="O79" s="84"/>
      <c r="P79" s="201"/>
      <c r="Q79" s="199"/>
      <c r="R79" s="84"/>
      <c r="S79" s="201"/>
      <c r="T79" s="199"/>
      <c r="U79" s="84" t="e">
        <f t="shared" si="34"/>
        <v>#VALUE!</v>
      </c>
      <c r="V79" s="84"/>
      <c r="W79" s="199"/>
      <c r="X79" s="93"/>
      <c r="Y79" s="84"/>
      <c r="Z79" s="199"/>
      <c r="AA79" s="93"/>
      <c r="AB79" s="84"/>
      <c r="AC79" s="199"/>
      <c r="AD79" s="93"/>
      <c r="AE79" s="84"/>
      <c r="AF79" s="199"/>
      <c r="AG79" s="93"/>
      <c r="AH79" s="84"/>
      <c r="AI79" s="199"/>
      <c r="AJ79" s="93"/>
      <c r="AK79" s="84"/>
      <c r="AL79" s="199"/>
      <c r="AM79" s="93"/>
      <c r="AN79" s="84">
        <f t="shared" si="35"/>
        <v>0</v>
      </c>
      <c r="AO79" s="202"/>
    </row>
    <row r="80" spans="1:42" ht="35.25" customHeight="1" x14ac:dyDescent="0.25">
      <c r="A80" s="195" t="s">
        <v>130</v>
      </c>
      <c r="B80" s="85" t="s">
        <v>131</v>
      </c>
      <c r="C80" s="84" t="s">
        <v>47</v>
      </c>
      <c r="D80" s="200" t="s">
        <v>47</v>
      </c>
      <c r="E80" s="198"/>
      <c r="F80" s="84"/>
      <c r="G80" s="200" t="s">
        <v>47</v>
      </c>
      <c r="H80" s="198"/>
      <c r="I80" s="84"/>
      <c r="J80" s="200" t="s">
        <v>47</v>
      </c>
      <c r="K80" s="198"/>
      <c r="L80" s="84"/>
      <c r="M80" s="200" t="s">
        <v>47</v>
      </c>
      <c r="N80" s="198"/>
      <c r="O80" s="84"/>
      <c r="P80" s="200" t="s">
        <v>47</v>
      </c>
      <c r="Q80" s="198"/>
      <c r="R80" s="84"/>
      <c r="S80" s="200" t="s">
        <v>47</v>
      </c>
      <c r="T80" s="198"/>
      <c r="U80" s="84" t="e">
        <f t="shared" si="34"/>
        <v>#VALUE!</v>
      </c>
      <c r="V80" s="84"/>
      <c r="W80" s="198"/>
      <c r="X80" s="93"/>
      <c r="Y80" s="84"/>
      <c r="Z80" s="198"/>
      <c r="AA80" s="93"/>
      <c r="AB80" s="84"/>
      <c r="AC80" s="198"/>
      <c r="AD80" s="93"/>
      <c r="AE80" s="84"/>
      <c r="AF80" s="198"/>
      <c r="AG80" s="93"/>
      <c r="AH80" s="84"/>
      <c r="AI80" s="198"/>
      <c r="AJ80" s="93"/>
      <c r="AK80" s="84"/>
      <c r="AL80" s="198"/>
      <c r="AM80" s="93"/>
      <c r="AN80" s="84">
        <f t="shared" si="35"/>
        <v>0</v>
      </c>
      <c r="AO80" s="202" t="e">
        <f t="shared" ref="AO80" si="42">+AN80/AN81</f>
        <v>#DIV/0!</v>
      </c>
    </row>
    <row r="81" spans="1:41" ht="35.25" customHeight="1" x14ac:dyDescent="0.25">
      <c r="A81" s="195"/>
      <c r="B81" s="85" t="s">
        <v>132</v>
      </c>
      <c r="C81" s="84" t="s">
        <v>47</v>
      </c>
      <c r="D81" s="201"/>
      <c r="E81" s="199"/>
      <c r="F81" s="84"/>
      <c r="G81" s="201"/>
      <c r="H81" s="199"/>
      <c r="I81" s="84"/>
      <c r="J81" s="201"/>
      <c r="K81" s="199"/>
      <c r="L81" s="84"/>
      <c r="M81" s="201"/>
      <c r="N81" s="199"/>
      <c r="O81" s="84"/>
      <c r="P81" s="201"/>
      <c r="Q81" s="199"/>
      <c r="R81" s="84"/>
      <c r="S81" s="201"/>
      <c r="T81" s="199"/>
      <c r="U81" s="84" t="e">
        <f t="shared" si="34"/>
        <v>#VALUE!</v>
      </c>
      <c r="V81" s="84"/>
      <c r="W81" s="199"/>
      <c r="X81" s="93"/>
      <c r="Y81" s="84"/>
      <c r="Z81" s="199"/>
      <c r="AA81" s="93"/>
      <c r="AB81" s="84"/>
      <c r="AC81" s="199"/>
      <c r="AD81" s="93"/>
      <c r="AE81" s="84"/>
      <c r="AF81" s="199"/>
      <c r="AG81" s="93"/>
      <c r="AH81" s="84"/>
      <c r="AI81" s="199"/>
      <c r="AJ81" s="93"/>
      <c r="AK81" s="84"/>
      <c r="AL81" s="199"/>
      <c r="AM81" s="93"/>
      <c r="AN81" s="84">
        <f t="shared" si="35"/>
        <v>0</v>
      </c>
      <c r="AO81" s="202"/>
    </row>
    <row r="82" spans="1:41" ht="35.25" customHeight="1" x14ac:dyDescent="0.25">
      <c r="A82" s="195" t="s">
        <v>133</v>
      </c>
      <c r="B82" s="85" t="s">
        <v>134</v>
      </c>
      <c r="C82" s="84">
        <v>1876</v>
      </c>
      <c r="D82" s="200">
        <f>+C82/C83</f>
        <v>6.2119205298013247</v>
      </c>
      <c r="E82" s="198"/>
      <c r="F82" s="84">
        <v>2465</v>
      </c>
      <c r="G82" s="200">
        <f>+F82/F83</f>
        <v>8.1622516556291398</v>
      </c>
      <c r="H82" s="198"/>
      <c r="I82" s="84">
        <v>3632</v>
      </c>
      <c r="J82" s="200">
        <f>+I82/I83</f>
        <v>13.809885931558936</v>
      </c>
      <c r="K82" s="198"/>
      <c r="L82" s="84">
        <v>6319</v>
      </c>
      <c r="M82" s="200">
        <f>+L82/L83</f>
        <v>21.347972972972972</v>
      </c>
      <c r="N82" s="198"/>
      <c r="O82" s="84">
        <v>6253</v>
      </c>
      <c r="P82" s="200">
        <f>+O82/O83</f>
        <v>14.923627684964201</v>
      </c>
      <c r="Q82" s="198"/>
      <c r="R82" s="84">
        <v>3974</v>
      </c>
      <c r="S82" s="200">
        <f>+R82/R83</f>
        <v>13.029508196721311</v>
      </c>
      <c r="T82" s="198"/>
      <c r="U82" s="84">
        <f t="shared" si="34"/>
        <v>24519</v>
      </c>
      <c r="V82" s="84">
        <v>6978</v>
      </c>
      <c r="W82" s="203">
        <f>V82/V83</f>
        <v>16.89588377723971</v>
      </c>
      <c r="X82" s="198" t="s">
        <v>246</v>
      </c>
      <c r="Y82" s="84">
        <v>7977</v>
      </c>
      <c r="Z82" s="203">
        <f>Y82/Y83</f>
        <v>17.885650224215247</v>
      </c>
      <c r="AA82" s="198" t="s">
        <v>246</v>
      </c>
      <c r="AB82" s="84">
        <v>5913</v>
      </c>
      <c r="AC82" s="203">
        <f>AB82/AB83</f>
        <v>14.351941747572816</v>
      </c>
      <c r="AD82" s="198" t="s">
        <v>246</v>
      </c>
      <c r="AE82" s="84">
        <v>7647</v>
      </c>
      <c r="AF82" s="203">
        <f>AE82/AE83</f>
        <v>16.516198704103672</v>
      </c>
      <c r="AG82" s="198" t="s">
        <v>246</v>
      </c>
      <c r="AH82" s="84">
        <v>6401</v>
      </c>
      <c r="AI82" s="203">
        <f>AH82/AH83</f>
        <v>17.633608815426996</v>
      </c>
      <c r="AJ82" s="198" t="s">
        <v>310</v>
      </c>
      <c r="AK82" s="84">
        <v>2659</v>
      </c>
      <c r="AL82" s="203">
        <f>AK82/AK83</f>
        <v>12.031674208144796</v>
      </c>
      <c r="AM82" s="198" t="s">
        <v>310</v>
      </c>
      <c r="AN82" s="84">
        <f t="shared" si="35"/>
        <v>37575</v>
      </c>
      <c r="AO82" s="202">
        <f t="shared" ref="AO82" si="43">+AN82/AN83</f>
        <v>16.21009490940466</v>
      </c>
    </row>
    <row r="83" spans="1:41" ht="35.25" customHeight="1" x14ac:dyDescent="0.25">
      <c r="A83" s="195"/>
      <c r="B83" s="85" t="s">
        <v>135</v>
      </c>
      <c r="C83" s="84">
        <v>302</v>
      </c>
      <c r="D83" s="201"/>
      <c r="E83" s="199"/>
      <c r="F83" s="84">
        <v>302</v>
      </c>
      <c r="G83" s="201"/>
      <c r="H83" s="199"/>
      <c r="I83" s="84">
        <v>263</v>
      </c>
      <c r="J83" s="201"/>
      <c r="K83" s="199"/>
      <c r="L83" s="84">
        <v>296</v>
      </c>
      <c r="M83" s="201"/>
      <c r="N83" s="199"/>
      <c r="O83" s="84">
        <v>419</v>
      </c>
      <c r="P83" s="201"/>
      <c r="Q83" s="199"/>
      <c r="R83" s="84">
        <v>305</v>
      </c>
      <c r="S83" s="201"/>
      <c r="T83" s="199"/>
      <c r="U83" s="84">
        <f t="shared" si="34"/>
        <v>1887</v>
      </c>
      <c r="V83" s="84">
        <v>413</v>
      </c>
      <c r="W83" s="204"/>
      <c r="X83" s="199"/>
      <c r="Y83" s="84">
        <v>446</v>
      </c>
      <c r="Z83" s="204"/>
      <c r="AA83" s="199"/>
      <c r="AB83" s="84">
        <v>412</v>
      </c>
      <c r="AC83" s="204"/>
      <c r="AD83" s="199"/>
      <c r="AE83" s="84">
        <v>463</v>
      </c>
      <c r="AF83" s="204"/>
      <c r="AG83" s="199"/>
      <c r="AH83" s="84">
        <v>363</v>
      </c>
      <c r="AI83" s="204"/>
      <c r="AJ83" s="199"/>
      <c r="AK83" s="84">
        <v>221</v>
      </c>
      <c r="AL83" s="204"/>
      <c r="AM83" s="199"/>
      <c r="AN83" s="84">
        <f t="shared" si="35"/>
        <v>2318</v>
      </c>
      <c r="AO83" s="202"/>
    </row>
    <row r="84" spans="1:41" ht="35.25" customHeight="1" x14ac:dyDescent="0.25">
      <c r="A84" s="195" t="s">
        <v>136</v>
      </c>
      <c r="B84" s="85" t="s">
        <v>137</v>
      </c>
      <c r="C84" s="84">
        <v>466</v>
      </c>
      <c r="D84" s="200">
        <f>+C84/C85</f>
        <v>5.5476190476190474</v>
      </c>
      <c r="E84" s="198"/>
      <c r="F84" s="84">
        <v>829</v>
      </c>
      <c r="G84" s="200">
        <f>+F84/F85</f>
        <v>5.6013513513513518</v>
      </c>
      <c r="H84" s="198"/>
      <c r="I84" s="84">
        <v>1393</v>
      </c>
      <c r="J84" s="200">
        <f>+I84/I85</f>
        <v>11.325203252032521</v>
      </c>
      <c r="K84" s="198"/>
      <c r="L84" s="84">
        <v>1269</v>
      </c>
      <c r="M84" s="200">
        <f>+L84/L85</f>
        <v>10.233870967741936</v>
      </c>
      <c r="N84" s="198"/>
      <c r="O84" s="84">
        <v>2365</v>
      </c>
      <c r="P84" s="200">
        <f>+O84/O85</f>
        <v>24.635416666666668</v>
      </c>
      <c r="Q84" s="198"/>
      <c r="R84" s="84">
        <v>1257</v>
      </c>
      <c r="S84" s="200">
        <f>+R84/R85</f>
        <v>17.458333333333332</v>
      </c>
      <c r="T84" s="198"/>
      <c r="U84" s="84">
        <f t="shared" si="34"/>
        <v>7579</v>
      </c>
      <c r="V84" s="84">
        <v>231</v>
      </c>
      <c r="W84" s="203">
        <f>V84/V85</f>
        <v>4.9148936170212769</v>
      </c>
      <c r="X84" s="198" t="s">
        <v>246</v>
      </c>
      <c r="Y84" s="84">
        <v>222</v>
      </c>
      <c r="Z84" s="203">
        <f>Y84/Y85</f>
        <v>4.8260869565217392</v>
      </c>
      <c r="AA84" s="198" t="s">
        <v>246</v>
      </c>
      <c r="AB84" s="84">
        <v>607</v>
      </c>
      <c r="AC84" s="203">
        <f>AB84/AB85</f>
        <v>5.0165289256198351</v>
      </c>
      <c r="AD84" s="198" t="s">
        <v>246</v>
      </c>
      <c r="AE84" s="84">
        <v>1417</v>
      </c>
      <c r="AF84" s="203">
        <f>AE84/AE85</f>
        <v>9.8402777777777786</v>
      </c>
      <c r="AG84" s="198" t="s">
        <v>281</v>
      </c>
      <c r="AH84" s="84">
        <v>1492</v>
      </c>
      <c r="AI84" s="203">
        <f>AH84/AH85</f>
        <v>13.814814814814815</v>
      </c>
      <c r="AJ84" s="198" t="s">
        <v>309</v>
      </c>
      <c r="AK84" s="84">
        <v>1284</v>
      </c>
      <c r="AL84" s="203">
        <f>AK84/AK85</f>
        <v>16.894736842105264</v>
      </c>
      <c r="AM84" s="198" t="s">
        <v>309</v>
      </c>
      <c r="AN84" s="84">
        <f t="shared" si="35"/>
        <v>5253</v>
      </c>
      <c r="AO84" s="202">
        <f t="shared" ref="AO84" si="44">+AN84/AN85</f>
        <v>9.6918819188191883</v>
      </c>
    </row>
    <row r="85" spans="1:41" ht="35.25" customHeight="1" x14ac:dyDescent="0.25">
      <c r="A85" s="195"/>
      <c r="B85" s="85" t="s">
        <v>138</v>
      </c>
      <c r="C85" s="84">
        <v>84</v>
      </c>
      <c r="D85" s="201"/>
      <c r="E85" s="199"/>
      <c r="F85" s="84">
        <v>148</v>
      </c>
      <c r="G85" s="201"/>
      <c r="H85" s="199"/>
      <c r="I85" s="84">
        <v>123</v>
      </c>
      <c r="J85" s="201"/>
      <c r="K85" s="199"/>
      <c r="L85" s="84">
        <v>124</v>
      </c>
      <c r="M85" s="201"/>
      <c r="N85" s="199"/>
      <c r="O85" s="84">
        <v>96</v>
      </c>
      <c r="P85" s="201"/>
      <c r="Q85" s="199"/>
      <c r="R85" s="84">
        <v>72</v>
      </c>
      <c r="S85" s="201"/>
      <c r="T85" s="199"/>
      <c r="U85" s="84">
        <f t="shared" si="34"/>
        <v>647</v>
      </c>
      <c r="V85" s="84">
        <v>47</v>
      </c>
      <c r="W85" s="204"/>
      <c r="X85" s="199"/>
      <c r="Y85" s="84">
        <v>46</v>
      </c>
      <c r="Z85" s="204"/>
      <c r="AA85" s="199"/>
      <c r="AB85" s="84">
        <v>121</v>
      </c>
      <c r="AC85" s="204"/>
      <c r="AD85" s="199"/>
      <c r="AE85" s="84">
        <v>144</v>
      </c>
      <c r="AF85" s="204"/>
      <c r="AG85" s="199"/>
      <c r="AH85" s="84">
        <v>108</v>
      </c>
      <c r="AI85" s="204"/>
      <c r="AJ85" s="199"/>
      <c r="AK85" s="84">
        <v>76</v>
      </c>
      <c r="AL85" s="204"/>
      <c r="AM85" s="199"/>
      <c r="AN85" s="84">
        <f t="shared" si="35"/>
        <v>542</v>
      </c>
      <c r="AO85" s="202"/>
    </row>
    <row r="86" spans="1:41" ht="35.25" customHeight="1" x14ac:dyDescent="0.25">
      <c r="A86" s="195" t="s">
        <v>139</v>
      </c>
      <c r="B86" s="85" t="s">
        <v>140</v>
      </c>
      <c r="C86" s="84">
        <v>640</v>
      </c>
      <c r="D86" s="200">
        <f>+C86/C87</f>
        <v>3.7869822485207099</v>
      </c>
      <c r="E86" s="198"/>
      <c r="F86" s="84">
        <v>1064</v>
      </c>
      <c r="G86" s="200">
        <f>+F86/F87</f>
        <v>5.32</v>
      </c>
      <c r="H86" s="198"/>
      <c r="I86" s="84">
        <v>1007</v>
      </c>
      <c r="J86" s="200">
        <f>+I86/I87</f>
        <v>6.4140127388535033</v>
      </c>
      <c r="K86" s="198"/>
      <c r="L86" s="84">
        <v>1620</v>
      </c>
      <c r="M86" s="200">
        <f>+L86/L87</f>
        <v>8.526315789473685</v>
      </c>
      <c r="N86" s="198"/>
      <c r="O86" s="84">
        <v>1590</v>
      </c>
      <c r="P86" s="200">
        <f>+O86/O87</f>
        <v>6.8240343347639483</v>
      </c>
      <c r="Q86" s="198"/>
      <c r="R86" s="84">
        <v>1000</v>
      </c>
      <c r="S86" s="200">
        <f>+R86/R87</f>
        <v>6.756756756756757</v>
      </c>
      <c r="T86" s="198"/>
      <c r="U86" s="84">
        <f t="shared" si="34"/>
        <v>6921</v>
      </c>
      <c r="V86" s="84">
        <v>1497</v>
      </c>
      <c r="W86" s="203">
        <f>V86/V87</f>
        <v>7.0613207547169807</v>
      </c>
      <c r="X86" s="198" t="s">
        <v>246</v>
      </c>
      <c r="Y86" s="84">
        <v>1123</v>
      </c>
      <c r="Z86" s="203">
        <f>Y86/Y87</f>
        <v>5.3476190476190473</v>
      </c>
      <c r="AA86" s="198" t="s">
        <v>246</v>
      </c>
      <c r="AB86" s="84">
        <v>1198</v>
      </c>
      <c r="AC86" s="203">
        <f>AB86/AB87</f>
        <v>6.7303370786516856</v>
      </c>
      <c r="AD86" s="198" t="s">
        <v>246</v>
      </c>
      <c r="AE86" s="84">
        <v>1319</v>
      </c>
      <c r="AF86" s="203">
        <f>AE86/AE87</f>
        <v>5.7598253275109172</v>
      </c>
      <c r="AG86" s="198" t="s">
        <v>246</v>
      </c>
      <c r="AH86" s="84">
        <v>1161</v>
      </c>
      <c r="AI86" s="203">
        <f>AH86/AH87</f>
        <v>6.275675675675676</v>
      </c>
      <c r="AJ86" s="198" t="s">
        <v>310</v>
      </c>
      <c r="AK86" s="84">
        <v>937</v>
      </c>
      <c r="AL86" s="203">
        <f>AK86/AK87</f>
        <v>9.7604166666666661</v>
      </c>
      <c r="AM86" s="198" t="s">
        <v>310</v>
      </c>
      <c r="AN86" s="84">
        <f t="shared" si="35"/>
        <v>7235</v>
      </c>
      <c r="AO86" s="202">
        <f t="shared" ref="AO86" si="45">+AN86/AN87</f>
        <v>6.5180180180180178</v>
      </c>
    </row>
    <row r="87" spans="1:41" ht="35.25" customHeight="1" x14ac:dyDescent="0.25">
      <c r="A87" s="195"/>
      <c r="B87" s="85" t="s">
        <v>141</v>
      </c>
      <c r="C87" s="84">
        <v>169</v>
      </c>
      <c r="D87" s="201"/>
      <c r="E87" s="199"/>
      <c r="F87" s="84">
        <v>200</v>
      </c>
      <c r="G87" s="201"/>
      <c r="H87" s="199"/>
      <c r="I87" s="84">
        <v>157</v>
      </c>
      <c r="J87" s="201"/>
      <c r="K87" s="199"/>
      <c r="L87" s="84">
        <v>190</v>
      </c>
      <c r="M87" s="201"/>
      <c r="N87" s="199"/>
      <c r="O87" s="84">
        <v>233</v>
      </c>
      <c r="P87" s="201"/>
      <c r="Q87" s="199"/>
      <c r="R87" s="84">
        <v>148</v>
      </c>
      <c r="S87" s="201"/>
      <c r="T87" s="199"/>
      <c r="U87" s="84">
        <f t="shared" si="34"/>
        <v>1097</v>
      </c>
      <c r="V87" s="84">
        <v>212</v>
      </c>
      <c r="W87" s="204"/>
      <c r="X87" s="199"/>
      <c r="Y87" s="84">
        <v>210</v>
      </c>
      <c r="Z87" s="204"/>
      <c r="AA87" s="199"/>
      <c r="AB87" s="84">
        <v>178</v>
      </c>
      <c r="AC87" s="204"/>
      <c r="AD87" s="199"/>
      <c r="AE87" s="84">
        <v>229</v>
      </c>
      <c r="AF87" s="204"/>
      <c r="AG87" s="199"/>
      <c r="AH87" s="84">
        <v>185</v>
      </c>
      <c r="AI87" s="204"/>
      <c r="AJ87" s="199"/>
      <c r="AK87" s="84">
        <v>96</v>
      </c>
      <c r="AL87" s="204"/>
      <c r="AM87" s="199"/>
      <c r="AN87" s="84">
        <f t="shared" si="35"/>
        <v>1110</v>
      </c>
      <c r="AO87" s="202"/>
    </row>
    <row r="88" spans="1:41" ht="35.25" customHeight="1" x14ac:dyDescent="0.25">
      <c r="A88" s="195" t="s">
        <v>142</v>
      </c>
      <c r="B88" s="85" t="s">
        <v>143</v>
      </c>
      <c r="C88" s="84" t="s">
        <v>47</v>
      </c>
      <c r="D88" s="200" t="s">
        <v>47</v>
      </c>
      <c r="E88" s="198" t="s">
        <v>190</v>
      </c>
      <c r="F88" s="84"/>
      <c r="G88" s="200" t="s">
        <v>47</v>
      </c>
      <c r="H88" s="198" t="s">
        <v>190</v>
      </c>
      <c r="I88" s="84"/>
      <c r="J88" s="200" t="s">
        <v>47</v>
      </c>
      <c r="K88" s="198" t="s">
        <v>190</v>
      </c>
      <c r="L88" s="84"/>
      <c r="M88" s="200" t="s">
        <v>47</v>
      </c>
      <c r="N88" s="198" t="s">
        <v>190</v>
      </c>
      <c r="O88" s="84"/>
      <c r="P88" s="200" t="s">
        <v>47</v>
      </c>
      <c r="Q88" s="198" t="s">
        <v>190</v>
      </c>
      <c r="R88" s="84"/>
      <c r="S88" s="200" t="s">
        <v>47</v>
      </c>
      <c r="T88" s="198" t="s">
        <v>190</v>
      </c>
      <c r="U88" s="84" t="e">
        <f t="shared" si="34"/>
        <v>#VALUE!</v>
      </c>
      <c r="V88" s="84"/>
      <c r="W88" s="198"/>
      <c r="X88" s="93"/>
      <c r="Y88" s="84"/>
      <c r="Z88" s="198"/>
      <c r="AA88" s="93"/>
      <c r="AB88" s="84"/>
      <c r="AC88" s="198"/>
      <c r="AD88" s="93"/>
      <c r="AE88" s="84"/>
      <c r="AF88" s="198"/>
      <c r="AG88" s="93"/>
      <c r="AH88" s="84"/>
      <c r="AI88" s="198"/>
      <c r="AJ88" s="93"/>
      <c r="AK88" s="84"/>
      <c r="AL88" s="198"/>
      <c r="AM88" s="93"/>
      <c r="AN88" s="84">
        <f t="shared" si="35"/>
        <v>0</v>
      </c>
      <c r="AO88" s="202" t="e">
        <f t="shared" ref="AO88" si="46">+AN88/AN89</f>
        <v>#DIV/0!</v>
      </c>
    </row>
    <row r="89" spans="1:41" ht="35.25" customHeight="1" x14ac:dyDescent="0.25">
      <c r="A89" s="195"/>
      <c r="B89" s="85" t="s">
        <v>144</v>
      </c>
      <c r="C89" s="84" t="s">
        <v>47</v>
      </c>
      <c r="D89" s="201"/>
      <c r="E89" s="199"/>
      <c r="F89" s="84"/>
      <c r="G89" s="201"/>
      <c r="H89" s="199"/>
      <c r="I89" s="84"/>
      <c r="J89" s="201"/>
      <c r="K89" s="199"/>
      <c r="L89" s="84"/>
      <c r="M89" s="201"/>
      <c r="N89" s="199"/>
      <c r="O89" s="84"/>
      <c r="P89" s="201"/>
      <c r="Q89" s="199"/>
      <c r="R89" s="84"/>
      <c r="S89" s="201"/>
      <c r="T89" s="199"/>
      <c r="U89" s="84" t="e">
        <f t="shared" si="34"/>
        <v>#VALUE!</v>
      </c>
      <c r="V89" s="84"/>
      <c r="W89" s="199"/>
      <c r="X89" s="93"/>
      <c r="Y89" s="84"/>
      <c r="Z89" s="199"/>
      <c r="AA89" s="93"/>
      <c r="AB89" s="84"/>
      <c r="AC89" s="199"/>
      <c r="AD89" s="93"/>
      <c r="AE89" s="84"/>
      <c r="AF89" s="199"/>
      <c r="AG89" s="93"/>
      <c r="AH89" s="84"/>
      <c r="AI89" s="199"/>
      <c r="AJ89" s="93"/>
      <c r="AK89" s="84"/>
      <c r="AL89" s="199"/>
      <c r="AM89" s="93"/>
      <c r="AN89" s="84">
        <f t="shared" si="35"/>
        <v>0</v>
      </c>
      <c r="AO89" s="202"/>
    </row>
    <row r="90" spans="1:41" ht="35.25" customHeight="1" x14ac:dyDescent="0.25">
      <c r="A90" s="195" t="s">
        <v>145</v>
      </c>
      <c r="B90" s="85" t="s">
        <v>146</v>
      </c>
      <c r="C90" s="84">
        <v>564</v>
      </c>
      <c r="D90" s="200">
        <f>+C90/C91</f>
        <v>5.371428571428571</v>
      </c>
      <c r="E90" s="198"/>
      <c r="F90" s="84">
        <v>864</v>
      </c>
      <c r="G90" s="200">
        <f>+F90/F91</f>
        <v>6.4477611940298507</v>
      </c>
      <c r="H90" s="198"/>
      <c r="I90" s="84">
        <v>1027</v>
      </c>
      <c r="J90" s="200">
        <f>+I90/I91</f>
        <v>8.4180327868852451</v>
      </c>
      <c r="K90" s="198"/>
      <c r="L90" s="84">
        <v>1448</v>
      </c>
      <c r="M90" s="200">
        <f>+L90/L91</f>
        <v>9.7837837837837842</v>
      </c>
      <c r="N90" s="198"/>
      <c r="O90" s="84">
        <v>1307</v>
      </c>
      <c r="P90" s="200">
        <f>+O90/O91</f>
        <v>7.9212121212121209</v>
      </c>
      <c r="Q90" s="198"/>
      <c r="R90" s="84">
        <v>1329</v>
      </c>
      <c r="S90" s="200">
        <f>+R90/R91</f>
        <v>9.4255319148936163</v>
      </c>
      <c r="T90" s="198"/>
      <c r="U90" s="84">
        <f t="shared" si="34"/>
        <v>6539</v>
      </c>
      <c r="V90" s="84">
        <v>1307</v>
      </c>
      <c r="W90" s="203">
        <f>V90/V91</f>
        <v>10.540322580645162</v>
      </c>
      <c r="X90" s="198" t="s">
        <v>246</v>
      </c>
      <c r="Y90" s="84">
        <v>948</v>
      </c>
      <c r="Z90" s="203">
        <f>Y90/Y91</f>
        <v>7.7704918032786887</v>
      </c>
      <c r="AA90" s="198" t="s">
        <v>246</v>
      </c>
      <c r="AB90" s="84">
        <v>812</v>
      </c>
      <c r="AC90" s="203">
        <f>AB90/AB91</f>
        <v>6.7107438016528924</v>
      </c>
      <c r="AD90" s="198" t="s">
        <v>246</v>
      </c>
      <c r="AE90" s="84">
        <v>1396</v>
      </c>
      <c r="AF90" s="203">
        <f>AE90/AE91</f>
        <v>7.6703296703296706</v>
      </c>
      <c r="AG90" s="198" t="s">
        <v>246</v>
      </c>
      <c r="AH90" s="84">
        <v>875</v>
      </c>
      <c r="AI90" s="203">
        <f>AH90/AH91</f>
        <v>7.2314049586776861</v>
      </c>
      <c r="AJ90" s="198" t="s">
        <v>310</v>
      </c>
      <c r="AK90" s="84">
        <v>1164</v>
      </c>
      <c r="AL90" s="203">
        <f>AK90/AK91</f>
        <v>12.652173913043478</v>
      </c>
      <c r="AM90" s="198" t="s">
        <v>310</v>
      </c>
      <c r="AN90" s="84">
        <f t="shared" si="35"/>
        <v>6502</v>
      </c>
      <c r="AO90" s="202">
        <f t="shared" ref="AO90" si="47">+AN90/AN91</f>
        <v>8.5328083989501309</v>
      </c>
    </row>
    <row r="91" spans="1:41" ht="35.25" customHeight="1" x14ac:dyDescent="0.25">
      <c r="A91" s="195"/>
      <c r="B91" s="85" t="s">
        <v>147</v>
      </c>
      <c r="C91" s="84">
        <v>105</v>
      </c>
      <c r="D91" s="201"/>
      <c r="E91" s="199"/>
      <c r="F91" s="84">
        <v>134</v>
      </c>
      <c r="G91" s="201"/>
      <c r="H91" s="199"/>
      <c r="I91" s="84">
        <v>122</v>
      </c>
      <c r="J91" s="201"/>
      <c r="K91" s="199"/>
      <c r="L91" s="84">
        <v>148</v>
      </c>
      <c r="M91" s="201"/>
      <c r="N91" s="199"/>
      <c r="O91" s="84">
        <v>165</v>
      </c>
      <c r="P91" s="201"/>
      <c r="Q91" s="199"/>
      <c r="R91" s="84">
        <v>141</v>
      </c>
      <c r="S91" s="201"/>
      <c r="T91" s="199"/>
      <c r="U91" s="84">
        <f t="shared" si="34"/>
        <v>815</v>
      </c>
      <c r="V91" s="84">
        <v>124</v>
      </c>
      <c r="W91" s="204"/>
      <c r="X91" s="199"/>
      <c r="Y91" s="84">
        <v>122</v>
      </c>
      <c r="Z91" s="204"/>
      <c r="AA91" s="199"/>
      <c r="AB91" s="84">
        <v>121</v>
      </c>
      <c r="AC91" s="204"/>
      <c r="AD91" s="199"/>
      <c r="AE91" s="84">
        <v>182</v>
      </c>
      <c r="AF91" s="204"/>
      <c r="AG91" s="199"/>
      <c r="AH91" s="84">
        <v>121</v>
      </c>
      <c r="AI91" s="204"/>
      <c r="AJ91" s="199"/>
      <c r="AK91" s="84">
        <v>92</v>
      </c>
      <c r="AL91" s="204"/>
      <c r="AM91" s="199"/>
      <c r="AN91" s="84">
        <f t="shared" si="35"/>
        <v>762</v>
      </c>
      <c r="AO91" s="202"/>
    </row>
    <row r="92" spans="1:41" ht="35.25" customHeight="1" x14ac:dyDescent="0.25">
      <c r="A92" s="195" t="s">
        <v>148</v>
      </c>
      <c r="B92" s="85" t="s">
        <v>149</v>
      </c>
      <c r="C92" s="95">
        <f>263+107</f>
        <v>370</v>
      </c>
      <c r="D92" s="200">
        <f>+C92/C93</f>
        <v>0.91811414392059554</v>
      </c>
      <c r="E92" s="198"/>
      <c r="F92" s="95">
        <f>329+120</f>
        <v>449</v>
      </c>
      <c r="G92" s="200">
        <f>+F92/F93</f>
        <v>0.93736951983298533</v>
      </c>
      <c r="H92" s="198"/>
      <c r="I92" s="95">
        <f>220+122</f>
        <v>342</v>
      </c>
      <c r="J92" s="200">
        <f>+I92/I93</f>
        <v>0.68127490039840632</v>
      </c>
      <c r="K92" s="198"/>
      <c r="L92" s="95">
        <f>196+134</f>
        <v>330</v>
      </c>
      <c r="M92" s="200">
        <f>+L92/L93</f>
        <v>0.63097514340344163</v>
      </c>
      <c r="N92" s="198"/>
      <c r="O92" s="95">
        <f>53+320</f>
        <v>373</v>
      </c>
      <c r="P92" s="200">
        <f>+O92/O93</f>
        <v>0.6322033898305085</v>
      </c>
      <c r="Q92" s="198"/>
      <c r="R92" s="95">
        <f>182+165</f>
        <v>347</v>
      </c>
      <c r="S92" s="200">
        <f>+R92/R93</f>
        <v>0.64022140221402213</v>
      </c>
      <c r="T92" s="198"/>
      <c r="U92" s="95">
        <f t="shared" si="34"/>
        <v>2211</v>
      </c>
      <c r="V92" s="95">
        <v>432</v>
      </c>
      <c r="W92" s="200">
        <f>V92/V93</f>
        <v>0.83397683397683398</v>
      </c>
      <c r="X92" s="198" t="s">
        <v>229</v>
      </c>
      <c r="Y92" s="95">
        <v>454</v>
      </c>
      <c r="Z92" s="200">
        <f>Y92/Y93</f>
        <v>0.75041322314049586</v>
      </c>
      <c r="AA92" s="198" t="s">
        <v>230</v>
      </c>
      <c r="AB92" s="95">
        <v>314</v>
      </c>
      <c r="AC92" s="200">
        <f>AB92/AB93</f>
        <v>0.59469696969696972</v>
      </c>
      <c r="AD92" s="198" t="s">
        <v>264</v>
      </c>
      <c r="AE92" s="95">
        <v>102</v>
      </c>
      <c r="AF92" s="200">
        <f>AE92/AE93</f>
        <v>0.16803953871499178</v>
      </c>
      <c r="AG92" s="198" t="s">
        <v>284</v>
      </c>
      <c r="AH92" s="95">
        <v>425</v>
      </c>
      <c r="AI92" s="200">
        <f>AH92/AH93</f>
        <v>0.64102564102564108</v>
      </c>
      <c r="AJ92" s="198" t="s">
        <v>311</v>
      </c>
      <c r="AK92" s="95">
        <v>440</v>
      </c>
      <c r="AL92" s="200">
        <f>AK92/AK93</f>
        <v>0.71082390953150243</v>
      </c>
      <c r="AM92" s="198" t="s">
        <v>312</v>
      </c>
      <c r="AN92" s="95">
        <f t="shared" si="35"/>
        <v>2167</v>
      </c>
      <c r="AO92" s="202">
        <f t="shared" ref="AO92" si="48">+AN92/AN93</f>
        <v>0.61214689265536726</v>
      </c>
    </row>
    <row r="93" spans="1:41" ht="35.25" customHeight="1" x14ac:dyDescent="0.25">
      <c r="A93" s="195"/>
      <c r="B93" s="85" t="s">
        <v>150</v>
      </c>
      <c r="C93" s="84">
        <f>90+313</f>
        <v>403</v>
      </c>
      <c r="D93" s="201"/>
      <c r="E93" s="199"/>
      <c r="F93" s="84">
        <f>72+407</f>
        <v>479</v>
      </c>
      <c r="G93" s="201"/>
      <c r="H93" s="199"/>
      <c r="I93" s="84">
        <f>70+432</f>
        <v>502</v>
      </c>
      <c r="J93" s="201"/>
      <c r="K93" s="199"/>
      <c r="L93" s="84">
        <f>73+450</f>
        <v>523</v>
      </c>
      <c r="M93" s="201"/>
      <c r="N93" s="199"/>
      <c r="O93" s="84">
        <f>22+568</f>
        <v>590</v>
      </c>
      <c r="P93" s="201"/>
      <c r="Q93" s="199"/>
      <c r="R93" s="84">
        <f>26+516</f>
        <v>542</v>
      </c>
      <c r="S93" s="201"/>
      <c r="T93" s="199"/>
      <c r="U93" s="84">
        <f t="shared" si="34"/>
        <v>3039</v>
      </c>
      <c r="V93" s="84">
        <v>518</v>
      </c>
      <c r="W93" s="201"/>
      <c r="X93" s="199"/>
      <c r="Y93" s="84">
        <v>605</v>
      </c>
      <c r="Z93" s="201"/>
      <c r="AA93" s="199"/>
      <c r="AB93" s="84">
        <v>528</v>
      </c>
      <c r="AC93" s="201"/>
      <c r="AD93" s="199"/>
      <c r="AE93" s="84">
        <v>607</v>
      </c>
      <c r="AF93" s="201"/>
      <c r="AG93" s="199"/>
      <c r="AH93" s="84">
        <v>663</v>
      </c>
      <c r="AI93" s="201"/>
      <c r="AJ93" s="199"/>
      <c r="AK93" s="84">
        <v>619</v>
      </c>
      <c r="AL93" s="201"/>
      <c r="AM93" s="199"/>
      <c r="AN93" s="84">
        <f t="shared" si="35"/>
        <v>3540</v>
      </c>
      <c r="AO93" s="202"/>
    </row>
    <row r="94" spans="1:41" ht="35.25" customHeight="1" x14ac:dyDescent="0.25">
      <c r="A94" s="195" t="s">
        <v>151</v>
      </c>
      <c r="B94" s="85" t="s">
        <v>152</v>
      </c>
      <c r="C94" s="84">
        <v>0</v>
      </c>
      <c r="D94" s="200">
        <v>0</v>
      </c>
      <c r="E94" s="198" t="s">
        <v>196</v>
      </c>
      <c r="F94" s="84">
        <v>0</v>
      </c>
      <c r="G94" s="200">
        <v>0</v>
      </c>
      <c r="H94" s="198" t="s">
        <v>196</v>
      </c>
      <c r="I94" s="84">
        <v>0</v>
      </c>
      <c r="J94" s="200">
        <v>0</v>
      </c>
      <c r="K94" s="198" t="s">
        <v>196</v>
      </c>
      <c r="L94" s="84">
        <v>0</v>
      </c>
      <c r="M94" s="200">
        <v>0</v>
      </c>
      <c r="N94" s="198" t="s">
        <v>196</v>
      </c>
      <c r="O94" s="84">
        <v>0</v>
      </c>
      <c r="P94" s="200">
        <v>0</v>
      </c>
      <c r="Q94" s="198" t="s">
        <v>196</v>
      </c>
      <c r="R94" s="84">
        <v>0</v>
      </c>
      <c r="S94" s="200">
        <v>0</v>
      </c>
      <c r="T94" s="198" t="s">
        <v>196</v>
      </c>
      <c r="U94" s="84">
        <f t="shared" si="34"/>
        <v>0</v>
      </c>
      <c r="V94" s="84" t="s">
        <v>47</v>
      </c>
      <c r="W94" s="198" t="s">
        <v>47</v>
      </c>
      <c r="X94" s="198" t="s">
        <v>175</v>
      </c>
      <c r="Y94" s="84" t="s">
        <v>47</v>
      </c>
      <c r="Z94" s="198" t="s">
        <v>47</v>
      </c>
      <c r="AA94" s="198" t="s">
        <v>175</v>
      </c>
      <c r="AB94" s="84" t="s">
        <v>47</v>
      </c>
      <c r="AC94" s="198" t="s">
        <v>47</v>
      </c>
      <c r="AD94" s="198" t="s">
        <v>175</v>
      </c>
      <c r="AE94" s="84">
        <v>0</v>
      </c>
      <c r="AF94" s="198" t="s">
        <v>47</v>
      </c>
      <c r="AG94" s="198" t="s">
        <v>175</v>
      </c>
      <c r="AH94" s="84">
        <v>0</v>
      </c>
      <c r="AI94" s="198" t="s">
        <v>47</v>
      </c>
      <c r="AJ94" s="198" t="s">
        <v>196</v>
      </c>
      <c r="AK94" s="84">
        <v>0</v>
      </c>
      <c r="AL94" s="198" t="s">
        <v>47</v>
      </c>
      <c r="AM94" s="198" t="s">
        <v>196</v>
      </c>
      <c r="AN94" s="84" t="e">
        <f t="shared" si="35"/>
        <v>#VALUE!</v>
      </c>
      <c r="AO94" s="202" t="e">
        <f t="shared" ref="AO94" si="49">+AN94/AN95</f>
        <v>#VALUE!</v>
      </c>
    </row>
    <row r="95" spans="1:41" ht="35.25" customHeight="1" x14ac:dyDescent="0.25">
      <c r="A95" s="195"/>
      <c r="B95" s="85" t="s">
        <v>153</v>
      </c>
      <c r="C95" s="84">
        <v>0</v>
      </c>
      <c r="D95" s="201"/>
      <c r="E95" s="199"/>
      <c r="F95" s="84">
        <v>0</v>
      </c>
      <c r="G95" s="201"/>
      <c r="H95" s="199"/>
      <c r="I95" s="84">
        <v>0</v>
      </c>
      <c r="J95" s="201"/>
      <c r="K95" s="199"/>
      <c r="L95" s="84">
        <v>0</v>
      </c>
      <c r="M95" s="201"/>
      <c r="N95" s="199"/>
      <c r="O95" s="84">
        <v>0</v>
      </c>
      <c r="P95" s="201"/>
      <c r="Q95" s="199"/>
      <c r="R95" s="84">
        <v>0</v>
      </c>
      <c r="S95" s="201"/>
      <c r="T95" s="199"/>
      <c r="U95" s="84">
        <f t="shared" si="34"/>
        <v>0</v>
      </c>
      <c r="V95" s="84" t="s">
        <v>47</v>
      </c>
      <c r="W95" s="199"/>
      <c r="X95" s="199"/>
      <c r="Y95" s="84" t="s">
        <v>47</v>
      </c>
      <c r="Z95" s="199"/>
      <c r="AA95" s="199"/>
      <c r="AB95" s="84" t="s">
        <v>47</v>
      </c>
      <c r="AC95" s="199"/>
      <c r="AD95" s="199"/>
      <c r="AE95" s="84">
        <v>0</v>
      </c>
      <c r="AF95" s="199"/>
      <c r="AG95" s="199"/>
      <c r="AH95" s="84">
        <v>0</v>
      </c>
      <c r="AI95" s="199"/>
      <c r="AJ95" s="199"/>
      <c r="AK95" s="84">
        <v>0</v>
      </c>
      <c r="AL95" s="199"/>
      <c r="AM95" s="199"/>
      <c r="AN95" s="84" t="e">
        <f t="shared" si="35"/>
        <v>#VALUE!</v>
      </c>
      <c r="AO95" s="202"/>
    </row>
    <row r="96" spans="1:41" ht="35.25" customHeight="1" x14ac:dyDescent="0.25">
      <c r="A96" s="195" t="s">
        <v>154</v>
      </c>
      <c r="B96" s="85" t="s">
        <v>155</v>
      </c>
      <c r="C96" s="94">
        <v>44454</v>
      </c>
      <c r="D96" s="200">
        <f>+C96/C97</f>
        <v>62</v>
      </c>
      <c r="E96" s="198"/>
      <c r="F96" s="94">
        <f>+F97*68</f>
        <v>48348</v>
      </c>
      <c r="G96" s="200">
        <f>+F96/F97</f>
        <v>68</v>
      </c>
      <c r="H96" s="198"/>
      <c r="I96" s="94">
        <v>44652</v>
      </c>
      <c r="J96" s="200">
        <f>+I96/I97</f>
        <v>61</v>
      </c>
      <c r="K96" s="198"/>
      <c r="L96" s="94">
        <v>45312</v>
      </c>
      <c r="M96" s="200">
        <f>+L96/L97</f>
        <v>59</v>
      </c>
      <c r="N96" s="198"/>
      <c r="O96" s="94">
        <v>46197</v>
      </c>
      <c r="P96" s="200">
        <f>+O96/O97</f>
        <v>59</v>
      </c>
      <c r="Q96" s="198"/>
      <c r="R96" s="94">
        <v>44191</v>
      </c>
      <c r="S96" s="200">
        <f>+R96/R97</f>
        <v>59</v>
      </c>
      <c r="T96" s="198"/>
      <c r="U96" s="94">
        <f t="shared" si="34"/>
        <v>273154</v>
      </c>
      <c r="V96" s="94">
        <f>V97*57</f>
        <v>35055</v>
      </c>
      <c r="W96" s="198">
        <f>V96/V97</f>
        <v>57</v>
      </c>
      <c r="X96" s="198" t="s">
        <v>247</v>
      </c>
      <c r="Y96" s="84">
        <f>743*72</f>
        <v>53496</v>
      </c>
      <c r="Z96" s="198">
        <f>Y96/Y97</f>
        <v>72</v>
      </c>
      <c r="AA96" s="198" t="s">
        <v>247</v>
      </c>
      <c r="AB96" s="84">
        <f>AB97*74</f>
        <v>44178</v>
      </c>
      <c r="AC96" s="198">
        <f>AB96/AB97</f>
        <v>74</v>
      </c>
      <c r="AD96" s="198" t="s">
        <v>247</v>
      </c>
      <c r="AE96" s="84">
        <v>40824</v>
      </c>
      <c r="AF96" s="198">
        <f>AE96/AE97</f>
        <v>63</v>
      </c>
      <c r="AG96" s="198" t="s">
        <v>247</v>
      </c>
      <c r="AH96" s="84">
        <v>48006</v>
      </c>
      <c r="AI96" s="198">
        <f>AH96/AH97</f>
        <v>63</v>
      </c>
      <c r="AJ96" s="198" t="s">
        <v>247</v>
      </c>
      <c r="AK96" s="84">
        <v>41076</v>
      </c>
      <c r="AL96" s="198">
        <f>AK96/AK97</f>
        <v>63</v>
      </c>
      <c r="AM96" s="198" t="s">
        <v>247</v>
      </c>
      <c r="AN96" s="84">
        <f t="shared" si="35"/>
        <v>262635</v>
      </c>
      <c r="AO96" s="202">
        <f t="shared" ref="AO96" si="50">+AN96/AN97</f>
        <v>65.380881254667656</v>
      </c>
    </row>
    <row r="97" spans="1:41" ht="35.25" customHeight="1" x14ac:dyDescent="0.25">
      <c r="A97" s="195"/>
      <c r="B97" s="85" t="s">
        <v>156</v>
      </c>
      <c r="C97" s="94">
        <v>717</v>
      </c>
      <c r="D97" s="201"/>
      <c r="E97" s="199"/>
      <c r="F97" s="94">
        <v>711</v>
      </c>
      <c r="G97" s="201"/>
      <c r="H97" s="199"/>
      <c r="I97" s="94">
        <v>732</v>
      </c>
      <c r="J97" s="201"/>
      <c r="K97" s="199"/>
      <c r="L97" s="94">
        <v>768</v>
      </c>
      <c r="M97" s="201"/>
      <c r="N97" s="199"/>
      <c r="O97" s="94">
        <v>783</v>
      </c>
      <c r="P97" s="201"/>
      <c r="Q97" s="199"/>
      <c r="R97" s="94">
        <v>749</v>
      </c>
      <c r="S97" s="201"/>
      <c r="T97" s="199"/>
      <c r="U97" s="94">
        <f t="shared" si="34"/>
        <v>4460</v>
      </c>
      <c r="V97" s="94">
        <v>615</v>
      </c>
      <c r="W97" s="199"/>
      <c r="X97" s="199"/>
      <c r="Y97" s="84">
        <v>743</v>
      </c>
      <c r="Z97" s="199"/>
      <c r="AA97" s="199"/>
      <c r="AB97" s="84">
        <v>597</v>
      </c>
      <c r="AC97" s="199"/>
      <c r="AD97" s="199"/>
      <c r="AE97" s="84">
        <v>648</v>
      </c>
      <c r="AF97" s="199"/>
      <c r="AG97" s="199"/>
      <c r="AH97" s="84">
        <v>762</v>
      </c>
      <c r="AI97" s="199"/>
      <c r="AJ97" s="199"/>
      <c r="AK97" s="84">
        <v>652</v>
      </c>
      <c r="AL97" s="199"/>
      <c r="AM97" s="199"/>
      <c r="AN97" s="84">
        <f t="shared" si="35"/>
        <v>4017</v>
      </c>
      <c r="AO97" s="202"/>
    </row>
    <row r="98" spans="1:41" ht="35.25" customHeight="1" x14ac:dyDescent="0.25">
      <c r="A98" s="195" t="s">
        <v>157</v>
      </c>
      <c r="B98" s="85" t="s">
        <v>158</v>
      </c>
      <c r="C98" s="95">
        <v>0</v>
      </c>
      <c r="D98" s="200" t="e">
        <f>+C98/C99</f>
        <v>#DIV/0!</v>
      </c>
      <c r="E98" s="198" t="s">
        <v>221</v>
      </c>
      <c r="F98" s="95">
        <v>212</v>
      </c>
      <c r="G98" s="200">
        <f>+F98/F99</f>
        <v>30.285714285714285</v>
      </c>
      <c r="H98" s="198"/>
      <c r="I98" s="95">
        <v>338</v>
      </c>
      <c r="J98" s="200">
        <f>+I98/I99</f>
        <v>56.333333333333336</v>
      </c>
      <c r="K98" s="198"/>
      <c r="L98" s="95">
        <v>457</v>
      </c>
      <c r="M98" s="200">
        <f>+L98/L99</f>
        <v>25.388888888888889</v>
      </c>
      <c r="N98" s="198"/>
      <c r="O98" s="95">
        <v>71</v>
      </c>
      <c r="P98" s="200">
        <f>+O98/O99</f>
        <v>11.833333333333334</v>
      </c>
      <c r="Q98" s="198"/>
      <c r="R98" s="95">
        <v>124</v>
      </c>
      <c r="S98" s="200">
        <f>+R98/R99</f>
        <v>12.4</v>
      </c>
      <c r="T98" s="198"/>
      <c r="U98" s="95">
        <f t="shared" si="34"/>
        <v>1202</v>
      </c>
      <c r="V98" s="95">
        <f>+V99*7.5</f>
        <v>52.5</v>
      </c>
      <c r="W98" s="203">
        <f>V98/V99</f>
        <v>7.5</v>
      </c>
      <c r="X98" s="198" t="s">
        <v>246</v>
      </c>
      <c r="Y98" s="95">
        <v>320</v>
      </c>
      <c r="Z98" s="203">
        <f>Y98/Y99</f>
        <v>29.09090909090909</v>
      </c>
      <c r="AA98" s="198" t="s">
        <v>246</v>
      </c>
      <c r="AB98" s="95">
        <v>423</v>
      </c>
      <c r="AC98" s="203">
        <f>AB98/AB99</f>
        <v>26.4375</v>
      </c>
      <c r="AD98" s="198" t="s">
        <v>246</v>
      </c>
      <c r="AE98" s="95">
        <v>176</v>
      </c>
      <c r="AF98" s="203">
        <f>AE98/AE99</f>
        <v>16</v>
      </c>
      <c r="AG98" s="198" t="s">
        <v>246</v>
      </c>
      <c r="AH98" s="95">
        <v>216</v>
      </c>
      <c r="AI98" s="203">
        <f>AH98/AH99</f>
        <v>18</v>
      </c>
      <c r="AJ98" s="198" t="s">
        <v>246</v>
      </c>
      <c r="AK98" s="95">
        <v>86</v>
      </c>
      <c r="AL98" s="203">
        <f>AK98/AK99</f>
        <v>14.333333333333334</v>
      </c>
      <c r="AM98" s="198" t="s">
        <v>246</v>
      </c>
      <c r="AN98" s="95">
        <f t="shared" si="35"/>
        <v>1273.5</v>
      </c>
      <c r="AO98" s="202">
        <f t="shared" ref="AO98" si="51">+AN98/AN99</f>
        <v>20.214285714285715</v>
      </c>
    </row>
    <row r="99" spans="1:41" ht="35.25" customHeight="1" x14ac:dyDescent="0.25">
      <c r="A99" s="195"/>
      <c r="B99" s="85" t="s">
        <v>159</v>
      </c>
      <c r="C99" s="84">
        <v>0</v>
      </c>
      <c r="D99" s="201"/>
      <c r="E99" s="199"/>
      <c r="F99" s="84">
        <v>7</v>
      </c>
      <c r="G99" s="201"/>
      <c r="H99" s="199"/>
      <c r="I99" s="84">
        <v>6</v>
      </c>
      <c r="J99" s="201"/>
      <c r="K99" s="199"/>
      <c r="L99" s="84">
        <v>18</v>
      </c>
      <c r="M99" s="201"/>
      <c r="N99" s="199"/>
      <c r="O99" s="84">
        <v>6</v>
      </c>
      <c r="P99" s="201"/>
      <c r="Q99" s="199"/>
      <c r="R99" s="84">
        <v>10</v>
      </c>
      <c r="S99" s="201"/>
      <c r="T99" s="199"/>
      <c r="U99" s="84">
        <f t="shared" si="34"/>
        <v>47</v>
      </c>
      <c r="V99" s="84">
        <v>7</v>
      </c>
      <c r="W99" s="204"/>
      <c r="X99" s="199"/>
      <c r="Y99" s="84">
        <v>11</v>
      </c>
      <c r="Z99" s="204"/>
      <c r="AA99" s="199"/>
      <c r="AB99" s="84">
        <v>16</v>
      </c>
      <c r="AC99" s="204"/>
      <c r="AD99" s="199"/>
      <c r="AE99" s="84">
        <v>11</v>
      </c>
      <c r="AF99" s="204"/>
      <c r="AG99" s="199"/>
      <c r="AH99" s="84">
        <v>12</v>
      </c>
      <c r="AI99" s="204"/>
      <c r="AJ99" s="199"/>
      <c r="AK99" s="84">
        <v>6</v>
      </c>
      <c r="AL99" s="204"/>
      <c r="AM99" s="199"/>
      <c r="AN99" s="84">
        <f t="shared" si="35"/>
        <v>63</v>
      </c>
      <c r="AO99" s="202"/>
    </row>
    <row r="100" spans="1:41" ht="35.25" customHeight="1" x14ac:dyDescent="0.25">
      <c r="A100" s="195" t="s">
        <v>160</v>
      </c>
      <c r="B100" s="85" t="s">
        <v>161</v>
      </c>
      <c r="C100" s="84">
        <v>2</v>
      </c>
      <c r="D100" s="200">
        <f>+C100/C101</f>
        <v>1</v>
      </c>
      <c r="E100" s="198" t="s">
        <v>216</v>
      </c>
      <c r="F100" s="84">
        <v>4</v>
      </c>
      <c r="G100" s="200">
        <f>+F100/F101</f>
        <v>1</v>
      </c>
      <c r="H100" s="198"/>
      <c r="I100" s="84">
        <v>3</v>
      </c>
      <c r="J100" s="200">
        <f>+I100/I101</f>
        <v>1</v>
      </c>
      <c r="K100" s="198"/>
      <c r="L100" s="84">
        <v>5</v>
      </c>
      <c r="M100" s="200">
        <f>+L100/L101</f>
        <v>1</v>
      </c>
      <c r="N100" s="198"/>
      <c r="O100" s="84">
        <v>144</v>
      </c>
      <c r="P100" s="200">
        <f>+O100/O101</f>
        <v>48</v>
      </c>
      <c r="Q100" s="198"/>
      <c r="R100" s="84">
        <v>0</v>
      </c>
      <c r="S100" s="200" t="e">
        <f>+R100/R101</f>
        <v>#DIV/0!</v>
      </c>
      <c r="T100" s="198" t="s">
        <v>222</v>
      </c>
      <c r="U100" s="84">
        <f t="shared" si="34"/>
        <v>158</v>
      </c>
      <c r="V100" s="84">
        <v>2</v>
      </c>
      <c r="W100" s="203">
        <f>V100/V101</f>
        <v>2</v>
      </c>
      <c r="X100" s="198" t="s">
        <v>246</v>
      </c>
      <c r="Y100" s="84">
        <v>0</v>
      </c>
      <c r="Z100" s="198"/>
      <c r="AA100" s="198" t="s">
        <v>231</v>
      </c>
      <c r="AB100" s="84">
        <v>0</v>
      </c>
      <c r="AC100" s="198">
        <v>0</v>
      </c>
      <c r="AD100" s="198" t="s">
        <v>231</v>
      </c>
      <c r="AE100" s="84">
        <v>12</v>
      </c>
      <c r="AF100" s="198">
        <v>0</v>
      </c>
      <c r="AG100" s="198" t="s">
        <v>246</v>
      </c>
      <c r="AH100" s="84">
        <v>20</v>
      </c>
      <c r="AI100" s="203">
        <f>+AH100/AH101</f>
        <v>6.666666666666667</v>
      </c>
      <c r="AJ100" s="198" t="s">
        <v>246</v>
      </c>
      <c r="AK100" s="84">
        <v>3</v>
      </c>
      <c r="AL100" s="203">
        <f>AK100/AK101</f>
        <v>3</v>
      </c>
      <c r="AM100" s="198" t="s">
        <v>246</v>
      </c>
      <c r="AN100" s="84">
        <f t="shared" si="35"/>
        <v>37</v>
      </c>
      <c r="AO100" s="202">
        <f t="shared" ref="AO100" si="52">+AN100/AN101</f>
        <v>4.1111111111111107</v>
      </c>
    </row>
    <row r="101" spans="1:41" ht="35.25" customHeight="1" x14ac:dyDescent="0.25">
      <c r="A101" s="195"/>
      <c r="B101" s="85" t="s">
        <v>162</v>
      </c>
      <c r="C101" s="84">
        <v>2</v>
      </c>
      <c r="D101" s="201"/>
      <c r="E101" s="199"/>
      <c r="F101" s="84">
        <v>4</v>
      </c>
      <c r="G101" s="201"/>
      <c r="H101" s="199"/>
      <c r="I101" s="84">
        <v>3</v>
      </c>
      <c r="J101" s="201"/>
      <c r="K101" s="199"/>
      <c r="L101" s="84">
        <v>5</v>
      </c>
      <c r="M101" s="201"/>
      <c r="N101" s="199"/>
      <c r="O101" s="84">
        <v>3</v>
      </c>
      <c r="P101" s="201"/>
      <c r="Q101" s="199"/>
      <c r="R101" s="84">
        <v>0</v>
      </c>
      <c r="S101" s="201"/>
      <c r="T101" s="199"/>
      <c r="U101" s="84">
        <f t="shared" si="34"/>
        <v>17</v>
      </c>
      <c r="V101" s="84">
        <v>1</v>
      </c>
      <c r="W101" s="204"/>
      <c r="X101" s="199"/>
      <c r="Y101" s="84">
        <v>0</v>
      </c>
      <c r="Z101" s="199"/>
      <c r="AA101" s="199"/>
      <c r="AB101" s="84">
        <v>0</v>
      </c>
      <c r="AC101" s="199"/>
      <c r="AD101" s="199"/>
      <c r="AE101" s="84">
        <v>4</v>
      </c>
      <c r="AF101" s="199"/>
      <c r="AG101" s="199"/>
      <c r="AH101" s="84">
        <v>3</v>
      </c>
      <c r="AI101" s="204"/>
      <c r="AJ101" s="199"/>
      <c r="AK101" s="84">
        <v>1</v>
      </c>
      <c r="AL101" s="204"/>
      <c r="AM101" s="199"/>
      <c r="AN101" s="84">
        <f t="shared" si="35"/>
        <v>9</v>
      </c>
      <c r="AO101" s="202"/>
    </row>
    <row r="102" spans="1:41" ht="35.25" customHeight="1" x14ac:dyDescent="0.25">
      <c r="A102" s="195" t="s">
        <v>163</v>
      </c>
      <c r="B102" s="85" t="s">
        <v>164</v>
      </c>
      <c r="C102" s="84" t="s">
        <v>47</v>
      </c>
      <c r="D102" s="200">
        <v>0</v>
      </c>
      <c r="E102" s="198"/>
      <c r="F102" s="84"/>
      <c r="G102" s="200">
        <v>0</v>
      </c>
      <c r="H102" s="198"/>
      <c r="I102" s="84"/>
      <c r="J102" s="200">
        <v>0</v>
      </c>
      <c r="K102" s="198"/>
      <c r="L102" s="84"/>
      <c r="M102" s="200">
        <v>0</v>
      </c>
      <c r="N102" s="198"/>
      <c r="O102" s="84"/>
      <c r="P102" s="200">
        <v>0</v>
      </c>
      <c r="Q102" s="198"/>
      <c r="R102" s="84"/>
      <c r="S102" s="200">
        <v>0</v>
      </c>
      <c r="T102" s="198"/>
      <c r="U102" s="84" t="e">
        <f t="shared" si="34"/>
        <v>#VALUE!</v>
      </c>
      <c r="V102" s="84"/>
      <c r="W102" s="198"/>
      <c r="X102" s="93"/>
      <c r="Y102" s="84"/>
      <c r="Z102" s="198"/>
      <c r="AA102" s="93"/>
      <c r="AB102" s="84"/>
      <c r="AC102" s="198"/>
      <c r="AD102" s="93"/>
      <c r="AE102" s="84"/>
      <c r="AF102" s="198"/>
      <c r="AG102" s="93"/>
      <c r="AH102" s="84"/>
      <c r="AI102" s="198"/>
      <c r="AJ102" s="93"/>
      <c r="AK102" s="84"/>
      <c r="AL102" s="198"/>
      <c r="AM102" s="93"/>
      <c r="AN102" s="84">
        <f t="shared" si="35"/>
        <v>0</v>
      </c>
      <c r="AO102" s="202" t="e">
        <f t="shared" ref="AO102" si="53">+AN102/AN103</f>
        <v>#DIV/0!</v>
      </c>
    </row>
    <row r="103" spans="1:41" ht="35.25" customHeight="1" x14ac:dyDescent="0.25">
      <c r="A103" s="195"/>
      <c r="B103" s="85" t="s">
        <v>165</v>
      </c>
      <c r="C103" s="84" t="s">
        <v>47</v>
      </c>
      <c r="D103" s="201"/>
      <c r="E103" s="199"/>
      <c r="F103" s="84"/>
      <c r="G103" s="201"/>
      <c r="H103" s="199"/>
      <c r="I103" s="84"/>
      <c r="J103" s="201"/>
      <c r="K103" s="199"/>
      <c r="L103" s="84"/>
      <c r="M103" s="201"/>
      <c r="N103" s="199"/>
      <c r="O103" s="84"/>
      <c r="P103" s="201"/>
      <c r="Q103" s="199"/>
      <c r="R103" s="84"/>
      <c r="S103" s="201"/>
      <c r="T103" s="199"/>
      <c r="U103" s="84" t="e">
        <f t="shared" si="34"/>
        <v>#VALUE!</v>
      </c>
      <c r="V103" s="84"/>
      <c r="W103" s="199"/>
      <c r="X103" s="93"/>
      <c r="Y103" s="84"/>
      <c r="Z103" s="199"/>
      <c r="AA103" s="93"/>
      <c r="AB103" s="84"/>
      <c r="AC103" s="199"/>
      <c r="AD103" s="93"/>
      <c r="AE103" s="84"/>
      <c r="AF103" s="199"/>
      <c r="AG103" s="93"/>
      <c r="AH103" s="84"/>
      <c r="AI103" s="199"/>
      <c r="AJ103" s="93"/>
      <c r="AK103" s="84"/>
      <c r="AL103" s="199"/>
      <c r="AM103" s="93"/>
      <c r="AN103" s="84">
        <f t="shared" si="35"/>
        <v>0</v>
      </c>
      <c r="AO103" s="202"/>
    </row>
    <row r="104" spans="1:41" ht="35.25" customHeight="1" x14ac:dyDescent="0.25">
      <c r="A104" s="195" t="s">
        <v>166</v>
      </c>
      <c r="B104" s="85" t="s">
        <v>167</v>
      </c>
      <c r="C104" s="94">
        <v>32</v>
      </c>
      <c r="D104" s="200">
        <f>+C104/C105</f>
        <v>0.76190476190476186</v>
      </c>
      <c r="E104" s="198"/>
      <c r="F104" s="94">
        <v>24</v>
      </c>
      <c r="G104" s="200">
        <f>+F104/F105</f>
        <v>0.75</v>
      </c>
      <c r="H104" s="198"/>
      <c r="I104" s="94">
        <v>43</v>
      </c>
      <c r="J104" s="200">
        <f>+I104/I105</f>
        <v>0.81132075471698117</v>
      </c>
      <c r="K104" s="198"/>
      <c r="L104" s="94">
        <f>94+66</f>
        <v>160</v>
      </c>
      <c r="M104" s="200">
        <f>+L104/L105</f>
        <v>0.898876404494382</v>
      </c>
      <c r="N104" s="198"/>
      <c r="O104" s="94">
        <f>116+154+11</f>
        <v>281</v>
      </c>
      <c r="P104" s="200">
        <f>+O104/O105</f>
        <v>0.90645161290322585</v>
      </c>
      <c r="Q104" s="198"/>
      <c r="R104" s="94">
        <f>250+31</f>
        <v>281</v>
      </c>
      <c r="S104" s="200">
        <f>+R104/R105</f>
        <v>0.94295302013422821</v>
      </c>
      <c r="T104" s="198"/>
      <c r="U104" s="94">
        <f t="shared" si="34"/>
        <v>821</v>
      </c>
      <c r="V104" s="94">
        <v>91</v>
      </c>
      <c r="W104" s="196">
        <f>V104/V105</f>
        <v>0.96808510638297873</v>
      </c>
      <c r="X104" s="198" t="s">
        <v>249</v>
      </c>
      <c r="Y104" s="84">
        <f>118+13+87+17</f>
        <v>235</v>
      </c>
      <c r="Z104" s="196">
        <f>Y104/Y105</f>
        <v>0.92885375494071143</v>
      </c>
      <c r="AA104" s="198" t="s">
        <v>249</v>
      </c>
      <c r="AB104" s="84">
        <f>51+144+1+38</f>
        <v>234</v>
      </c>
      <c r="AC104" s="196">
        <f>AB104/AB105</f>
        <v>0.823943661971831</v>
      </c>
      <c r="AD104" s="198"/>
      <c r="AE104" s="84">
        <f>94+22+85</f>
        <v>201</v>
      </c>
      <c r="AF104" s="196">
        <f>AE104/AE105</f>
        <v>0.92201834862385323</v>
      </c>
      <c r="AG104" s="198" t="s">
        <v>285</v>
      </c>
      <c r="AH104" s="84">
        <f>94+22+85</f>
        <v>201</v>
      </c>
      <c r="AI104" s="196">
        <f>AH104/AH105</f>
        <v>0.92201834862385323</v>
      </c>
      <c r="AJ104" s="198" t="s">
        <v>285</v>
      </c>
      <c r="AK104" s="84">
        <v>170</v>
      </c>
      <c r="AL104" s="196">
        <f>+AK104/AK105</f>
        <v>0.85</v>
      </c>
      <c r="AM104" s="198" t="s">
        <v>313</v>
      </c>
      <c r="AN104" s="84">
        <f t="shared" si="35"/>
        <v>1132</v>
      </c>
      <c r="AO104" s="202">
        <f t="shared" ref="AO104" si="54">+AN104/AN105</f>
        <v>0.89344909234411996</v>
      </c>
    </row>
    <row r="105" spans="1:41" ht="35.25" customHeight="1" x14ac:dyDescent="0.25">
      <c r="A105" s="195"/>
      <c r="B105" s="85" t="s">
        <v>168</v>
      </c>
      <c r="C105" s="94">
        <f>23+19</f>
        <v>42</v>
      </c>
      <c r="D105" s="201"/>
      <c r="E105" s="199"/>
      <c r="F105" s="94">
        <v>32</v>
      </c>
      <c r="G105" s="201"/>
      <c r="H105" s="199"/>
      <c r="I105" s="94">
        <v>53</v>
      </c>
      <c r="J105" s="201"/>
      <c r="K105" s="199"/>
      <c r="L105" s="94">
        <f>102+76</f>
        <v>178</v>
      </c>
      <c r="M105" s="201"/>
      <c r="N105" s="199"/>
      <c r="O105" s="94">
        <f>132+164+14</f>
        <v>310</v>
      </c>
      <c r="P105" s="201"/>
      <c r="Q105" s="199"/>
      <c r="R105" s="94">
        <f>264+34</f>
        <v>298</v>
      </c>
      <c r="S105" s="201"/>
      <c r="T105" s="199"/>
      <c r="U105" s="94">
        <f t="shared" si="34"/>
        <v>913</v>
      </c>
      <c r="V105" s="94">
        <v>94</v>
      </c>
      <c r="W105" s="197"/>
      <c r="X105" s="199"/>
      <c r="Y105" s="84">
        <f>135+100+18</f>
        <v>253</v>
      </c>
      <c r="Z105" s="197"/>
      <c r="AA105" s="199"/>
      <c r="AB105" s="84">
        <f>56+163+1+64</f>
        <v>284</v>
      </c>
      <c r="AC105" s="197"/>
      <c r="AD105" s="199"/>
      <c r="AE105" s="84">
        <f>101+25+92</f>
        <v>218</v>
      </c>
      <c r="AF105" s="197"/>
      <c r="AG105" s="199"/>
      <c r="AH105" s="84">
        <f>101+25+92</f>
        <v>218</v>
      </c>
      <c r="AI105" s="197"/>
      <c r="AJ105" s="199"/>
      <c r="AK105" s="84">
        <v>200</v>
      </c>
      <c r="AL105" s="197"/>
      <c r="AM105" s="199"/>
      <c r="AN105" s="84">
        <f t="shared" si="35"/>
        <v>1267</v>
      </c>
      <c r="AO105" s="202"/>
    </row>
    <row r="106" spans="1:41" ht="35.25" customHeight="1" x14ac:dyDescent="0.25">
      <c r="A106" s="195" t="s">
        <v>169</v>
      </c>
      <c r="B106" s="85" t="s">
        <v>170</v>
      </c>
      <c r="C106" s="94">
        <v>39</v>
      </c>
      <c r="D106" s="200">
        <f>+C106/C107</f>
        <v>0.9285714285714286</v>
      </c>
      <c r="E106" s="198"/>
      <c r="F106" s="94">
        <v>29</v>
      </c>
      <c r="G106" s="200">
        <f>+F106/F107</f>
        <v>0.90625</v>
      </c>
      <c r="H106" s="198"/>
      <c r="I106" s="94">
        <v>47</v>
      </c>
      <c r="J106" s="200">
        <f>+I106/I107</f>
        <v>0.8867924528301887</v>
      </c>
      <c r="K106" s="198"/>
      <c r="L106" s="94">
        <f>85+67</f>
        <v>152</v>
      </c>
      <c r="M106" s="200">
        <f>+L106/L107</f>
        <v>0.8539325842696629</v>
      </c>
      <c r="N106" s="198"/>
      <c r="O106" s="94">
        <f>119+152+1+12</f>
        <v>284</v>
      </c>
      <c r="P106" s="200">
        <f>+O106/O107</f>
        <v>0.91318327974276525</v>
      </c>
      <c r="Q106" s="198"/>
      <c r="R106" s="94">
        <f>247+33</f>
        <v>280</v>
      </c>
      <c r="S106" s="200">
        <f>+R106/R107</f>
        <v>0.93959731543624159</v>
      </c>
      <c r="T106" s="198"/>
      <c r="U106" s="94">
        <f t="shared" si="34"/>
        <v>831</v>
      </c>
      <c r="V106" s="94">
        <v>87</v>
      </c>
      <c r="W106" s="196">
        <f>V106/V107</f>
        <v>0.92553191489361697</v>
      </c>
      <c r="X106" s="198" t="s">
        <v>248</v>
      </c>
      <c r="Y106" s="84">
        <f>127+72+17</f>
        <v>216</v>
      </c>
      <c r="Z106" s="196">
        <f>Y106/Y107</f>
        <v>0.85375494071146241</v>
      </c>
      <c r="AA106" s="198" t="s">
        <v>248</v>
      </c>
      <c r="AB106" s="84">
        <f>50+148+1+56</f>
        <v>255</v>
      </c>
      <c r="AC106" s="196">
        <f>AB106/AB107</f>
        <v>0.897887323943662</v>
      </c>
      <c r="AD106" s="198"/>
      <c r="AE106" s="84">
        <f>95+22+87</f>
        <v>204</v>
      </c>
      <c r="AF106" s="196">
        <f>AE106/AE107</f>
        <v>0.93577981651376152</v>
      </c>
      <c r="AG106" s="198" t="s">
        <v>286</v>
      </c>
      <c r="AH106" s="84">
        <f>95+22+87</f>
        <v>204</v>
      </c>
      <c r="AI106" s="196">
        <f>AH106/AH107</f>
        <v>0.93577981651376152</v>
      </c>
      <c r="AJ106" s="198" t="s">
        <v>286</v>
      </c>
      <c r="AK106" s="84">
        <v>180</v>
      </c>
      <c r="AL106" s="196">
        <f>+AK106/AK107</f>
        <v>0.9</v>
      </c>
      <c r="AM106" s="198" t="s">
        <v>314</v>
      </c>
      <c r="AN106" s="84">
        <f t="shared" si="35"/>
        <v>1146</v>
      </c>
      <c r="AO106" s="202">
        <f t="shared" ref="AO106" si="55">+AN106/AN107</f>
        <v>0.904498816101026</v>
      </c>
    </row>
    <row r="107" spans="1:41" ht="35.25" customHeight="1" x14ac:dyDescent="0.25">
      <c r="A107" s="195"/>
      <c r="B107" s="85" t="s">
        <v>168</v>
      </c>
      <c r="C107" s="94">
        <f>23+19</f>
        <v>42</v>
      </c>
      <c r="D107" s="201"/>
      <c r="E107" s="199"/>
      <c r="F107" s="94">
        <v>32</v>
      </c>
      <c r="G107" s="201"/>
      <c r="H107" s="199"/>
      <c r="I107" s="94">
        <v>53</v>
      </c>
      <c r="J107" s="201"/>
      <c r="K107" s="199"/>
      <c r="L107" s="94">
        <v>178</v>
      </c>
      <c r="M107" s="201"/>
      <c r="N107" s="199"/>
      <c r="O107" s="94">
        <f>132+164+1+14</f>
        <v>311</v>
      </c>
      <c r="P107" s="201"/>
      <c r="Q107" s="199"/>
      <c r="R107" s="94">
        <f>264+34</f>
        <v>298</v>
      </c>
      <c r="S107" s="201"/>
      <c r="T107" s="199"/>
      <c r="U107" s="94">
        <f t="shared" si="34"/>
        <v>914</v>
      </c>
      <c r="V107" s="94">
        <v>94</v>
      </c>
      <c r="W107" s="197"/>
      <c r="X107" s="199"/>
      <c r="Y107" s="84">
        <f>135+100+18</f>
        <v>253</v>
      </c>
      <c r="Z107" s="197"/>
      <c r="AA107" s="199"/>
      <c r="AB107" s="84">
        <v>284</v>
      </c>
      <c r="AC107" s="197"/>
      <c r="AD107" s="199"/>
      <c r="AE107" s="84">
        <f>101+25+92</f>
        <v>218</v>
      </c>
      <c r="AF107" s="197"/>
      <c r="AG107" s="199"/>
      <c r="AH107" s="84">
        <v>218</v>
      </c>
      <c r="AI107" s="197"/>
      <c r="AJ107" s="199"/>
      <c r="AK107" s="84">
        <v>200</v>
      </c>
      <c r="AL107" s="197"/>
      <c r="AM107" s="199"/>
      <c r="AN107" s="84">
        <f t="shared" si="35"/>
        <v>1267</v>
      </c>
      <c r="AO107" s="202"/>
    </row>
  </sheetData>
  <mergeCells count="1216">
    <mergeCell ref="AO2:AO3"/>
    <mergeCell ref="A1:B1"/>
    <mergeCell ref="AG2:AG3"/>
    <mergeCell ref="AI2:AI3"/>
    <mergeCell ref="AJ2:AJ3"/>
    <mergeCell ref="AL2:AL3"/>
    <mergeCell ref="AM2:AM3"/>
    <mergeCell ref="A4:A5"/>
    <mergeCell ref="X2:X3"/>
    <mergeCell ref="Z2:Z3"/>
    <mergeCell ref="AA2:AA3"/>
    <mergeCell ref="AC2:AC3"/>
    <mergeCell ref="AD2:AD3"/>
    <mergeCell ref="AF2:AF3"/>
    <mergeCell ref="N2:N3"/>
    <mergeCell ref="P2:P3"/>
    <mergeCell ref="Q2:Q3"/>
    <mergeCell ref="S2:S3"/>
    <mergeCell ref="T2:T3"/>
    <mergeCell ref="W2:W3"/>
    <mergeCell ref="E2:E3"/>
    <mergeCell ref="G2:G3"/>
    <mergeCell ref="H2:H3"/>
    <mergeCell ref="J2:J3"/>
    <mergeCell ref="K2:K3"/>
    <mergeCell ref="M2:M3"/>
    <mergeCell ref="D2:D3"/>
    <mergeCell ref="A2:A3"/>
    <mergeCell ref="AO10:AO11"/>
    <mergeCell ref="AJ4:AJ5"/>
    <mergeCell ref="AL4:AL5"/>
    <mergeCell ref="AM4:AM5"/>
    <mergeCell ref="A6:A7"/>
    <mergeCell ref="AA4:AA5"/>
    <mergeCell ref="AC4:AC5"/>
    <mergeCell ref="AD4:AD5"/>
    <mergeCell ref="AF4:AF5"/>
    <mergeCell ref="AG4:AG5"/>
    <mergeCell ref="AI4:AI5"/>
    <mergeCell ref="Q4:Q5"/>
    <mergeCell ref="S4:S5"/>
    <mergeCell ref="T4:T5"/>
    <mergeCell ref="W4:W5"/>
    <mergeCell ref="X4:X5"/>
    <mergeCell ref="Z4:Z5"/>
    <mergeCell ref="H4:H5"/>
    <mergeCell ref="J4:J5"/>
    <mergeCell ref="K4:K5"/>
    <mergeCell ref="M4:M5"/>
    <mergeCell ref="N4:N5"/>
    <mergeCell ref="P4:P5"/>
    <mergeCell ref="D4:D5"/>
    <mergeCell ref="E4:E5"/>
    <mergeCell ref="G4:G5"/>
    <mergeCell ref="AO8:AO9"/>
    <mergeCell ref="AO6:AO7"/>
    <mergeCell ref="AO4:AO5"/>
    <mergeCell ref="AM6:AM7"/>
    <mergeCell ref="A8:A9"/>
    <mergeCell ref="AD6:AD7"/>
    <mergeCell ref="AF6:AF7"/>
    <mergeCell ref="AG6:AG7"/>
    <mergeCell ref="AI6:AI7"/>
    <mergeCell ref="AJ6:AJ7"/>
    <mergeCell ref="AL6:AL7"/>
    <mergeCell ref="T6:T7"/>
    <mergeCell ref="W6:W7"/>
    <mergeCell ref="X6:X7"/>
    <mergeCell ref="Z6:Z7"/>
    <mergeCell ref="AA6:AA7"/>
    <mergeCell ref="AC6:AC7"/>
    <mergeCell ref="K6:K7"/>
    <mergeCell ref="M6:M7"/>
    <mergeCell ref="N6:N7"/>
    <mergeCell ref="P6:P7"/>
    <mergeCell ref="Q6:Q7"/>
    <mergeCell ref="S6:S7"/>
    <mergeCell ref="D6:D7"/>
    <mergeCell ref="E6:E7"/>
    <mergeCell ref="G6:G7"/>
    <mergeCell ref="H6:H7"/>
    <mergeCell ref="J6:J7"/>
    <mergeCell ref="AG8:AG9"/>
    <mergeCell ref="AI8:AI9"/>
    <mergeCell ref="AJ8:AJ9"/>
    <mergeCell ref="AL8:AL9"/>
    <mergeCell ref="AM8:AM9"/>
    <mergeCell ref="A10:A11"/>
    <mergeCell ref="X8:X9"/>
    <mergeCell ref="Z8:Z9"/>
    <mergeCell ref="AA8:AA9"/>
    <mergeCell ref="AC8:AC9"/>
    <mergeCell ref="AD8:AD9"/>
    <mergeCell ref="AF8:AF9"/>
    <mergeCell ref="N8:N9"/>
    <mergeCell ref="P8:P9"/>
    <mergeCell ref="Q8:Q9"/>
    <mergeCell ref="S8:S9"/>
    <mergeCell ref="T8:T9"/>
    <mergeCell ref="W8:W9"/>
    <mergeCell ref="E8:E9"/>
    <mergeCell ref="G8:G9"/>
    <mergeCell ref="H8:H9"/>
    <mergeCell ref="J8:J9"/>
    <mergeCell ref="K8:K9"/>
    <mergeCell ref="M8:M9"/>
    <mergeCell ref="D8:D9"/>
    <mergeCell ref="AJ10:AJ11"/>
    <mergeCell ref="AL10:AL11"/>
    <mergeCell ref="AM10:AM11"/>
    <mergeCell ref="A12:A13"/>
    <mergeCell ref="AA10:AA11"/>
    <mergeCell ref="AC10:AC11"/>
    <mergeCell ref="AD10:AD11"/>
    <mergeCell ref="AF10:AF11"/>
    <mergeCell ref="AG10:AG11"/>
    <mergeCell ref="AI10:AI11"/>
    <mergeCell ref="Q10:Q11"/>
    <mergeCell ref="S10:S11"/>
    <mergeCell ref="T10:T11"/>
    <mergeCell ref="W10:W11"/>
    <mergeCell ref="X10:X11"/>
    <mergeCell ref="Z10:Z11"/>
    <mergeCell ref="H10:H11"/>
    <mergeCell ref="J10:J11"/>
    <mergeCell ref="K10:K11"/>
    <mergeCell ref="M10:M11"/>
    <mergeCell ref="N10:N11"/>
    <mergeCell ref="P10:P11"/>
    <mergeCell ref="D10:D11"/>
    <mergeCell ref="E10:E11"/>
    <mergeCell ref="G10:G11"/>
    <mergeCell ref="AO18:AO19"/>
    <mergeCell ref="AM12:AM13"/>
    <mergeCell ref="A14:A15"/>
    <mergeCell ref="AD12:AD13"/>
    <mergeCell ref="AF12:AF13"/>
    <mergeCell ref="AG12:AG13"/>
    <mergeCell ref="AI12:AI13"/>
    <mergeCell ref="AJ12:AJ13"/>
    <mergeCell ref="AL12:AL13"/>
    <mergeCell ref="T12:T13"/>
    <mergeCell ref="W12:W13"/>
    <mergeCell ref="X12:X13"/>
    <mergeCell ref="Z12:Z13"/>
    <mergeCell ref="AA12:AA13"/>
    <mergeCell ref="AC12:AC13"/>
    <mergeCell ref="K12:K13"/>
    <mergeCell ref="M12:M13"/>
    <mergeCell ref="N12:N13"/>
    <mergeCell ref="P12:P13"/>
    <mergeCell ref="Q12:Q13"/>
    <mergeCell ref="S12:S13"/>
    <mergeCell ref="D12:D13"/>
    <mergeCell ref="E12:E13"/>
    <mergeCell ref="G12:G13"/>
    <mergeCell ref="H12:H13"/>
    <mergeCell ref="J12:J13"/>
    <mergeCell ref="AO16:AO17"/>
    <mergeCell ref="AO14:AO15"/>
    <mergeCell ref="AO12:AO13"/>
    <mergeCell ref="Z14:Z15"/>
    <mergeCell ref="AC14:AC15"/>
    <mergeCell ref="AF14:AF15"/>
    <mergeCell ref="AI14:AI15"/>
    <mergeCell ref="AL14:AL15"/>
    <mergeCell ref="A16:A17"/>
    <mergeCell ref="N14:N15"/>
    <mergeCell ref="P14:P15"/>
    <mergeCell ref="Q14:Q15"/>
    <mergeCell ref="S14:S15"/>
    <mergeCell ref="T14:T15"/>
    <mergeCell ref="W14:W15"/>
    <mergeCell ref="E14:E15"/>
    <mergeCell ref="G14:G15"/>
    <mergeCell ref="H14:H15"/>
    <mergeCell ref="J14:J15"/>
    <mergeCell ref="K14:K15"/>
    <mergeCell ref="M14:M15"/>
    <mergeCell ref="D14:D15"/>
    <mergeCell ref="AJ16:AJ17"/>
    <mergeCell ref="AL16:AL17"/>
    <mergeCell ref="AM16:AM17"/>
    <mergeCell ref="A18:A19"/>
    <mergeCell ref="AA16:AA17"/>
    <mergeCell ref="AC16:AC17"/>
    <mergeCell ref="AD16:AD17"/>
    <mergeCell ref="AF16:AF17"/>
    <mergeCell ref="AG16:AG17"/>
    <mergeCell ref="AI16:AI17"/>
    <mergeCell ref="Q16:Q17"/>
    <mergeCell ref="S16:S17"/>
    <mergeCell ref="T16:T17"/>
    <mergeCell ref="W16:W17"/>
    <mergeCell ref="X16:X17"/>
    <mergeCell ref="Z16:Z17"/>
    <mergeCell ref="H16:H17"/>
    <mergeCell ref="J16:J17"/>
    <mergeCell ref="K16:K17"/>
    <mergeCell ref="M16:M17"/>
    <mergeCell ref="N16:N17"/>
    <mergeCell ref="P16:P17"/>
    <mergeCell ref="D16:D17"/>
    <mergeCell ref="E16:E17"/>
    <mergeCell ref="G16:G17"/>
    <mergeCell ref="AL18:AL19"/>
    <mergeCell ref="A20:A21"/>
    <mergeCell ref="T18:T19"/>
    <mergeCell ref="W18:W19"/>
    <mergeCell ref="Z18:Z19"/>
    <mergeCell ref="AC18:AC19"/>
    <mergeCell ref="AF18:AF19"/>
    <mergeCell ref="AI18:AI19"/>
    <mergeCell ref="K18:K19"/>
    <mergeCell ref="M18:M19"/>
    <mergeCell ref="N18:N19"/>
    <mergeCell ref="P18:P19"/>
    <mergeCell ref="Q18:Q19"/>
    <mergeCell ref="S18:S19"/>
    <mergeCell ref="D18:D19"/>
    <mergeCell ref="E18:E19"/>
    <mergeCell ref="G18:G19"/>
    <mergeCell ref="H18:H19"/>
    <mergeCell ref="J18:J19"/>
    <mergeCell ref="AO26:AO27"/>
    <mergeCell ref="Z20:Z21"/>
    <mergeCell ref="AC20:AC21"/>
    <mergeCell ref="AF20:AF21"/>
    <mergeCell ref="AI20:AI21"/>
    <mergeCell ref="AL20:AL21"/>
    <mergeCell ref="A22:A23"/>
    <mergeCell ref="N20:N21"/>
    <mergeCell ref="P20:P21"/>
    <mergeCell ref="Q20:Q21"/>
    <mergeCell ref="S20:S21"/>
    <mergeCell ref="T20:T21"/>
    <mergeCell ref="W20:W21"/>
    <mergeCell ref="E20:E21"/>
    <mergeCell ref="G20:G21"/>
    <mergeCell ref="H20:H21"/>
    <mergeCell ref="J20:J21"/>
    <mergeCell ref="K20:K21"/>
    <mergeCell ref="M20:M21"/>
    <mergeCell ref="D20:D21"/>
    <mergeCell ref="AO24:AO25"/>
    <mergeCell ref="AO22:AO23"/>
    <mergeCell ref="AO20:AO21"/>
    <mergeCell ref="AJ22:AJ23"/>
    <mergeCell ref="AL22:AL23"/>
    <mergeCell ref="AM22:AM23"/>
    <mergeCell ref="A24:A25"/>
    <mergeCell ref="AA22:AA23"/>
    <mergeCell ref="AC22:AC23"/>
    <mergeCell ref="AD22:AD23"/>
    <mergeCell ref="AF22:AF23"/>
    <mergeCell ref="AG22:AG23"/>
    <mergeCell ref="AI22:AI23"/>
    <mergeCell ref="Q22:Q23"/>
    <mergeCell ref="S22:S23"/>
    <mergeCell ref="T22:T23"/>
    <mergeCell ref="W22:W23"/>
    <mergeCell ref="X22:X23"/>
    <mergeCell ref="Z22:Z23"/>
    <mergeCell ref="H22:H23"/>
    <mergeCell ref="J22:J23"/>
    <mergeCell ref="K22:K23"/>
    <mergeCell ref="M22:M23"/>
    <mergeCell ref="N22:N23"/>
    <mergeCell ref="P22:P23"/>
    <mergeCell ref="D22:D23"/>
    <mergeCell ref="E22:E23"/>
    <mergeCell ref="G22:G23"/>
    <mergeCell ref="AL24:AL25"/>
    <mergeCell ref="A26:A27"/>
    <mergeCell ref="T24:T25"/>
    <mergeCell ref="W24:W25"/>
    <mergeCell ref="Z24:Z25"/>
    <mergeCell ref="AC24:AC25"/>
    <mergeCell ref="AF24:AF25"/>
    <mergeCell ref="AI24:AI25"/>
    <mergeCell ref="K24:K25"/>
    <mergeCell ref="M24:M25"/>
    <mergeCell ref="N24:N25"/>
    <mergeCell ref="P24:P25"/>
    <mergeCell ref="Q24:Q25"/>
    <mergeCell ref="S24:S25"/>
    <mergeCell ref="D24:D25"/>
    <mergeCell ref="E24:E25"/>
    <mergeCell ref="G24:G25"/>
    <mergeCell ref="H24:H25"/>
    <mergeCell ref="J24:J25"/>
    <mergeCell ref="Z26:Z27"/>
    <mergeCell ref="AC26:AC27"/>
    <mergeCell ref="AF26:AF27"/>
    <mergeCell ref="AI26:AI27"/>
    <mergeCell ref="AL26:AL27"/>
    <mergeCell ref="A28:A29"/>
    <mergeCell ref="N26:N27"/>
    <mergeCell ref="P26:P27"/>
    <mergeCell ref="Q26:Q27"/>
    <mergeCell ref="S26:S27"/>
    <mergeCell ref="T26:T27"/>
    <mergeCell ref="W26:W27"/>
    <mergeCell ref="E26:E27"/>
    <mergeCell ref="G26:G27"/>
    <mergeCell ref="H26:H27"/>
    <mergeCell ref="J26:J27"/>
    <mergeCell ref="K26:K27"/>
    <mergeCell ref="M26:M27"/>
    <mergeCell ref="D26:D27"/>
    <mergeCell ref="AO34:AO35"/>
    <mergeCell ref="AF28:AF29"/>
    <mergeCell ref="AI28:AI29"/>
    <mergeCell ref="AL28:AL29"/>
    <mergeCell ref="A30:A31"/>
    <mergeCell ref="Q28:Q29"/>
    <mergeCell ref="S28:S29"/>
    <mergeCell ref="T28:T29"/>
    <mergeCell ref="W28:W29"/>
    <mergeCell ref="Z28:Z29"/>
    <mergeCell ref="AC28:AC29"/>
    <mergeCell ref="H28:H29"/>
    <mergeCell ref="J28:J29"/>
    <mergeCell ref="K28:K29"/>
    <mergeCell ref="M28:M29"/>
    <mergeCell ref="N28:N29"/>
    <mergeCell ref="P28:P29"/>
    <mergeCell ref="D28:D29"/>
    <mergeCell ref="E28:E29"/>
    <mergeCell ref="G28:G29"/>
    <mergeCell ref="AO32:AO33"/>
    <mergeCell ref="AO30:AO31"/>
    <mergeCell ref="AO28:AO29"/>
    <mergeCell ref="AM30:AM31"/>
    <mergeCell ref="A32:A33"/>
    <mergeCell ref="AD30:AD31"/>
    <mergeCell ref="AF30:AF31"/>
    <mergeCell ref="AG30:AG31"/>
    <mergeCell ref="AI30:AI31"/>
    <mergeCell ref="AJ30:AJ31"/>
    <mergeCell ref="AL30:AL31"/>
    <mergeCell ref="T30:T31"/>
    <mergeCell ref="W30:W31"/>
    <mergeCell ref="X30:X31"/>
    <mergeCell ref="Z30:Z31"/>
    <mergeCell ref="AA30:AA31"/>
    <mergeCell ref="AC30:AC31"/>
    <mergeCell ref="K30:K31"/>
    <mergeCell ref="M30:M31"/>
    <mergeCell ref="N30:N31"/>
    <mergeCell ref="P30:P31"/>
    <mergeCell ref="Q30:Q31"/>
    <mergeCell ref="S30:S31"/>
    <mergeCell ref="D30:D31"/>
    <mergeCell ref="E30:E31"/>
    <mergeCell ref="G30:G31"/>
    <mergeCell ref="H30:H31"/>
    <mergeCell ref="J30:J31"/>
    <mergeCell ref="AG32:AG33"/>
    <mergeCell ref="AI32:AI33"/>
    <mergeCell ref="AJ32:AJ33"/>
    <mergeCell ref="AL32:AL33"/>
    <mergeCell ref="AM32:AM33"/>
    <mergeCell ref="A34:A35"/>
    <mergeCell ref="X32:X33"/>
    <mergeCell ref="Z32:Z33"/>
    <mergeCell ref="AA32:AA33"/>
    <mergeCell ref="AC32:AC33"/>
    <mergeCell ref="AD32:AD33"/>
    <mergeCell ref="AF32:AF33"/>
    <mergeCell ref="N32:N33"/>
    <mergeCell ref="P32:P33"/>
    <mergeCell ref="Q32:Q33"/>
    <mergeCell ref="S32:S33"/>
    <mergeCell ref="T32:T33"/>
    <mergeCell ref="W32:W33"/>
    <mergeCell ref="E32:E33"/>
    <mergeCell ref="G32:G33"/>
    <mergeCell ref="H32:H33"/>
    <mergeCell ref="J32:J33"/>
    <mergeCell ref="K32:K33"/>
    <mergeCell ref="M32:M33"/>
    <mergeCell ref="D32:D33"/>
    <mergeCell ref="AF34:AF35"/>
    <mergeCell ref="AI34:AI35"/>
    <mergeCell ref="AL34:AL35"/>
    <mergeCell ref="Q34:Q35"/>
    <mergeCell ref="S34:S35"/>
    <mergeCell ref="T34:T35"/>
    <mergeCell ref="W34:W35"/>
    <mergeCell ref="Z34:Z35"/>
    <mergeCell ref="AC34:AC35"/>
    <mergeCell ref="H34:H35"/>
    <mergeCell ref="J34:J35"/>
    <mergeCell ref="K34:K35"/>
    <mergeCell ref="M34:M35"/>
    <mergeCell ref="N34:N35"/>
    <mergeCell ref="P34:P35"/>
    <mergeCell ref="D34:D35"/>
    <mergeCell ref="E34:E35"/>
    <mergeCell ref="G34:G35"/>
    <mergeCell ref="AO42:AO43"/>
    <mergeCell ref="AL36:AL37"/>
    <mergeCell ref="T36:T37"/>
    <mergeCell ref="W36:W37"/>
    <mergeCell ref="Z36:Z37"/>
    <mergeCell ref="AC36:AC37"/>
    <mergeCell ref="AF36:AF37"/>
    <mergeCell ref="AI36:AI37"/>
    <mergeCell ref="K36:K37"/>
    <mergeCell ref="M36:M37"/>
    <mergeCell ref="N36:N37"/>
    <mergeCell ref="P36:P37"/>
    <mergeCell ref="Q36:Q37"/>
    <mergeCell ref="S36:S37"/>
    <mergeCell ref="D36:D37"/>
    <mergeCell ref="AO40:AO41"/>
    <mergeCell ref="AO38:AO39"/>
    <mergeCell ref="AO36:AO37"/>
    <mergeCell ref="Z38:Z39"/>
    <mergeCell ref="AC38:AC39"/>
    <mergeCell ref="AF38:AF39"/>
    <mergeCell ref="AI38:AI39"/>
    <mergeCell ref="H40:H41"/>
    <mergeCell ref="J40:J41"/>
    <mergeCell ref="K40:K41"/>
    <mergeCell ref="M40:M41"/>
    <mergeCell ref="N40:N41"/>
    <mergeCell ref="P40:P41"/>
    <mergeCell ref="D40:D41"/>
    <mergeCell ref="E40:E41"/>
    <mergeCell ref="G40:G41"/>
    <mergeCell ref="AL38:AL39"/>
    <mergeCell ref="A40:A41"/>
    <mergeCell ref="N38:N39"/>
    <mergeCell ref="P38:P39"/>
    <mergeCell ref="Q38:Q39"/>
    <mergeCell ref="S38:S39"/>
    <mergeCell ref="T38:T39"/>
    <mergeCell ref="W38:W39"/>
    <mergeCell ref="E38:E39"/>
    <mergeCell ref="G38:G39"/>
    <mergeCell ref="H38:H39"/>
    <mergeCell ref="J38:J39"/>
    <mergeCell ref="K38:K39"/>
    <mergeCell ref="M38:M39"/>
    <mergeCell ref="D38:D39"/>
    <mergeCell ref="AF40:AF41"/>
    <mergeCell ref="AI40:AI41"/>
    <mergeCell ref="AL40:AL41"/>
    <mergeCell ref="AL42:AL43"/>
    <mergeCell ref="E36:E37"/>
    <mergeCell ref="G36:G37"/>
    <mergeCell ref="H36:H37"/>
    <mergeCell ref="J36:J37"/>
    <mergeCell ref="A44:A45"/>
    <mergeCell ref="T42:T43"/>
    <mergeCell ref="W42:W43"/>
    <mergeCell ref="Z42:Z43"/>
    <mergeCell ref="AC42:AC43"/>
    <mergeCell ref="AF42:AF43"/>
    <mergeCell ref="AI42:AI43"/>
    <mergeCell ref="K42:K43"/>
    <mergeCell ref="M42:M43"/>
    <mergeCell ref="N42:N43"/>
    <mergeCell ref="P42:P43"/>
    <mergeCell ref="Q42:Q43"/>
    <mergeCell ref="S42:S43"/>
    <mergeCell ref="D42:D43"/>
    <mergeCell ref="E42:E43"/>
    <mergeCell ref="G42:G43"/>
    <mergeCell ref="H42:H43"/>
    <mergeCell ref="J42:J43"/>
    <mergeCell ref="A42:A43"/>
    <mergeCell ref="A36:A37"/>
    <mergeCell ref="A38:A39"/>
    <mergeCell ref="Q40:Q41"/>
    <mergeCell ref="S40:S41"/>
    <mergeCell ref="T40:T41"/>
    <mergeCell ref="W40:W41"/>
    <mergeCell ref="Z40:Z41"/>
    <mergeCell ref="AC40:AC41"/>
    <mergeCell ref="AO50:AO51"/>
    <mergeCell ref="Z44:Z45"/>
    <mergeCell ref="AC44:AC45"/>
    <mergeCell ref="AF44:AF45"/>
    <mergeCell ref="AI44:AI45"/>
    <mergeCell ref="AL44:AL45"/>
    <mergeCell ref="A46:A47"/>
    <mergeCell ref="N44:N45"/>
    <mergeCell ref="P44:P45"/>
    <mergeCell ref="Q44:Q45"/>
    <mergeCell ref="S44:S45"/>
    <mergeCell ref="T44:T45"/>
    <mergeCell ref="W44:W45"/>
    <mergeCell ref="E44:E45"/>
    <mergeCell ref="G44:G45"/>
    <mergeCell ref="H44:H45"/>
    <mergeCell ref="J44:J45"/>
    <mergeCell ref="K44:K45"/>
    <mergeCell ref="M44:M45"/>
    <mergeCell ref="D44:D45"/>
    <mergeCell ref="AO48:AO49"/>
    <mergeCell ref="AO46:AO47"/>
    <mergeCell ref="AO44:AO45"/>
    <mergeCell ref="AF46:AF47"/>
    <mergeCell ref="AI46:AI47"/>
    <mergeCell ref="AL46:AL47"/>
    <mergeCell ref="A48:A49"/>
    <mergeCell ref="Q46:Q47"/>
    <mergeCell ref="S46:S47"/>
    <mergeCell ref="T46:T47"/>
    <mergeCell ref="W46:W47"/>
    <mergeCell ref="Z46:Z47"/>
    <mergeCell ref="AC46:AC47"/>
    <mergeCell ref="H46:H47"/>
    <mergeCell ref="J46:J47"/>
    <mergeCell ref="K46:K47"/>
    <mergeCell ref="M46:M47"/>
    <mergeCell ref="N46:N47"/>
    <mergeCell ref="P46:P47"/>
    <mergeCell ref="D46:D47"/>
    <mergeCell ref="E46:E47"/>
    <mergeCell ref="G46:G47"/>
    <mergeCell ref="AG48:AG49"/>
    <mergeCell ref="AI48:AI49"/>
    <mergeCell ref="AJ48:AJ49"/>
    <mergeCell ref="AL48:AL49"/>
    <mergeCell ref="AM48:AM49"/>
    <mergeCell ref="A50:A51"/>
    <mergeCell ref="T48:T49"/>
    <mergeCell ref="W48:W49"/>
    <mergeCell ref="Z48:Z49"/>
    <mergeCell ref="AC48:AC49"/>
    <mergeCell ref="AD48:AD49"/>
    <mergeCell ref="AF48:AF49"/>
    <mergeCell ref="K48:K49"/>
    <mergeCell ref="M48:M49"/>
    <mergeCell ref="N48:N49"/>
    <mergeCell ref="P48:P49"/>
    <mergeCell ref="Q48:Q49"/>
    <mergeCell ref="S48:S49"/>
    <mergeCell ref="D48:D49"/>
    <mergeCell ref="E48:E49"/>
    <mergeCell ref="G48:G49"/>
    <mergeCell ref="H48:H49"/>
    <mergeCell ref="AO56:AO57"/>
    <mergeCell ref="AO54:AO55"/>
    <mergeCell ref="AO52:AO53"/>
    <mergeCell ref="AL54:AL55"/>
    <mergeCell ref="A56:A57"/>
    <mergeCell ref="T54:T55"/>
    <mergeCell ref="W54:W55"/>
    <mergeCell ref="Z54:Z55"/>
    <mergeCell ref="J48:J49"/>
    <mergeCell ref="AM50:AM51"/>
    <mergeCell ref="A52:A53"/>
    <mergeCell ref="AD50:AD51"/>
    <mergeCell ref="AF50:AF51"/>
    <mergeCell ref="AG50:AG51"/>
    <mergeCell ref="AI50:AI51"/>
    <mergeCell ref="AJ50:AJ51"/>
    <mergeCell ref="AL50:AL51"/>
    <mergeCell ref="Q50:Q51"/>
    <mergeCell ref="S50:S51"/>
    <mergeCell ref="T50:T51"/>
    <mergeCell ref="W50:W51"/>
    <mergeCell ref="Z50:Z51"/>
    <mergeCell ref="AC50:AC51"/>
    <mergeCell ref="H50:H51"/>
    <mergeCell ref="J50:J51"/>
    <mergeCell ref="K50:K51"/>
    <mergeCell ref="M50:M51"/>
    <mergeCell ref="N50:N51"/>
    <mergeCell ref="P50:P51"/>
    <mergeCell ref="D50:D51"/>
    <mergeCell ref="E50:E51"/>
    <mergeCell ref="G50:G51"/>
    <mergeCell ref="AJ52:AJ53"/>
    <mergeCell ref="AL52:AL53"/>
    <mergeCell ref="AM52:AM53"/>
    <mergeCell ref="A54:A55"/>
    <mergeCell ref="Z52:Z53"/>
    <mergeCell ref="AC52:AC53"/>
    <mergeCell ref="AD52:AD53"/>
    <mergeCell ref="AF52:AF53"/>
    <mergeCell ref="AG52:AG53"/>
    <mergeCell ref="AI52:AI53"/>
    <mergeCell ref="N52:N53"/>
    <mergeCell ref="P52:P53"/>
    <mergeCell ref="Q52:Q53"/>
    <mergeCell ref="S52:S53"/>
    <mergeCell ref="T52:T53"/>
    <mergeCell ref="W52:W53"/>
    <mergeCell ref="E52:E53"/>
    <mergeCell ref="G52:G53"/>
    <mergeCell ref="H52:H53"/>
    <mergeCell ref="J52:J53"/>
    <mergeCell ref="K52:K53"/>
    <mergeCell ref="M52:M53"/>
    <mergeCell ref="D52:D53"/>
    <mergeCell ref="AC54:AC55"/>
    <mergeCell ref="AF54:AF55"/>
    <mergeCell ref="AI54:AI55"/>
    <mergeCell ref="K54:K55"/>
    <mergeCell ref="M54:M55"/>
    <mergeCell ref="N54:N55"/>
    <mergeCell ref="P54:P55"/>
    <mergeCell ref="Q54:Q55"/>
    <mergeCell ref="S54:S55"/>
    <mergeCell ref="D54:D55"/>
    <mergeCell ref="E54:E55"/>
    <mergeCell ref="G54:G55"/>
    <mergeCell ref="H54:H55"/>
    <mergeCell ref="J54:J55"/>
    <mergeCell ref="Z56:Z57"/>
    <mergeCell ref="AC56:AC57"/>
    <mergeCell ref="AF56:AF57"/>
    <mergeCell ref="AI56:AI57"/>
    <mergeCell ref="A62:A63"/>
    <mergeCell ref="Q60:Q61"/>
    <mergeCell ref="S60:S61"/>
    <mergeCell ref="T60:T61"/>
    <mergeCell ref="W60:W61"/>
    <mergeCell ref="Z60:Z61"/>
    <mergeCell ref="AC60:AC61"/>
    <mergeCell ref="H60:H61"/>
    <mergeCell ref="J60:J61"/>
    <mergeCell ref="K60:K61"/>
    <mergeCell ref="D58:D59"/>
    <mergeCell ref="E58:E59"/>
    <mergeCell ref="G58:G59"/>
    <mergeCell ref="A60:A61"/>
    <mergeCell ref="AL56:AL57"/>
    <mergeCell ref="A58:A59"/>
    <mergeCell ref="N56:N57"/>
    <mergeCell ref="P56:P57"/>
    <mergeCell ref="Q56:Q57"/>
    <mergeCell ref="S56:S57"/>
    <mergeCell ref="T56:T57"/>
    <mergeCell ref="W56:W57"/>
    <mergeCell ref="E56:E57"/>
    <mergeCell ref="G56:G57"/>
    <mergeCell ref="H56:H57"/>
    <mergeCell ref="J56:J57"/>
    <mergeCell ref="K56:K57"/>
    <mergeCell ref="M56:M57"/>
    <mergeCell ref="D56:D57"/>
    <mergeCell ref="AF58:AF59"/>
    <mergeCell ref="AG58:AG59"/>
    <mergeCell ref="AI58:AI59"/>
    <mergeCell ref="AJ58:AJ59"/>
    <mergeCell ref="AL58:AL59"/>
    <mergeCell ref="Q58:Q59"/>
    <mergeCell ref="S58:S59"/>
    <mergeCell ref="T58:T59"/>
    <mergeCell ref="W58:W59"/>
    <mergeCell ref="Z58:Z59"/>
    <mergeCell ref="AC58:AC59"/>
    <mergeCell ref="H58:H59"/>
    <mergeCell ref="J58:J59"/>
    <mergeCell ref="K58:K59"/>
    <mergeCell ref="M58:M59"/>
    <mergeCell ref="N58:N59"/>
    <mergeCell ref="P58:P59"/>
    <mergeCell ref="AO66:AO67"/>
    <mergeCell ref="AD60:AD61"/>
    <mergeCell ref="AF60:AF61"/>
    <mergeCell ref="AG60:AG61"/>
    <mergeCell ref="AI60:AI61"/>
    <mergeCell ref="AL60:AL61"/>
    <mergeCell ref="AO58:AO59"/>
    <mergeCell ref="M60:M61"/>
    <mergeCell ref="N60:N61"/>
    <mergeCell ref="P60:P61"/>
    <mergeCell ref="D60:D61"/>
    <mergeCell ref="E60:E61"/>
    <mergeCell ref="G60:G61"/>
    <mergeCell ref="AO64:AO65"/>
    <mergeCell ref="AO62:AO63"/>
    <mergeCell ref="AO60:AO61"/>
    <mergeCell ref="AF62:AF63"/>
    <mergeCell ref="AG62:AG63"/>
    <mergeCell ref="AI62:AI63"/>
    <mergeCell ref="AL62:AL63"/>
    <mergeCell ref="AL64:AL65"/>
    <mergeCell ref="AI66:AI67"/>
    <mergeCell ref="AL66:AL67"/>
    <mergeCell ref="K66:K67"/>
    <mergeCell ref="A64:A65"/>
    <mergeCell ref="Q62:Q63"/>
    <mergeCell ref="S62:S63"/>
    <mergeCell ref="T62:T63"/>
    <mergeCell ref="W62:W63"/>
    <mergeCell ref="Z62:Z63"/>
    <mergeCell ref="AC62:AC63"/>
    <mergeCell ref="H62:H63"/>
    <mergeCell ref="J62:J63"/>
    <mergeCell ref="K62:K63"/>
    <mergeCell ref="M62:M63"/>
    <mergeCell ref="N62:N63"/>
    <mergeCell ref="P62:P63"/>
    <mergeCell ref="D62:D63"/>
    <mergeCell ref="E62:E63"/>
    <mergeCell ref="G62:G63"/>
    <mergeCell ref="AI64:AI65"/>
    <mergeCell ref="A66:A67"/>
    <mergeCell ref="S64:S65"/>
    <mergeCell ref="T64:T65"/>
    <mergeCell ref="W64:W65"/>
    <mergeCell ref="Z64:Z65"/>
    <mergeCell ref="AC64:AC65"/>
    <mergeCell ref="AF64:AF65"/>
    <mergeCell ref="J64:J65"/>
    <mergeCell ref="K64:K65"/>
    <mergeCell ref="M64:M65"/>
    <mergeCell ref="N64:N65"/>
    <mergeCell ref="P64:P65"/>
    <mergeCell ref="Q64:Q65"/>
    <mergeCell ref="D64:D65"/>
    <mergeCell ref="E64:E65"/>
    <mergeCell ref="G64:G65"/>
    <mergeCell ref="H64:H65"/>
    <mergeCell ref="W66:W67"/>
    <mergeCell ref="Z66:Z67"/>
    <mergeCell ref="AC66:AC67"/>
    <mergeCell ref="AF66:AF67"/>
    <mergeCell ref="M66:M67"/>
    <mergeCell ref="N66:N67"/>
    <mergeCell ref="P66:P67"/>
    <mergeCell ref="Q66:Q67"/>
    <mergeCell ref="S66:S67"/>
    <mergeCell ref="T66:T67"/>
    <mergeCell ref="D66:D67"/>
    <mergeCell ref="E66:E67"/>
    <mergeCell ref="G66:G67"/>
    <mergeCell ref="H66:H67"/>
    <mergeCell ref="J66:J67"/>
    <mergeCell ref="AO74:AO75"/>
    <mergeCell ref="AI68:AI69"/>
    <mergeCell ref="AL68:AL69"/>
    <mergeCell ref="AO72:AO73"/>
    <mergeCell ref="AO70:AO71"/>
    <mergeCell ref="AO68:AO69"/>
    <mergeCell ref="AI70:AI71"/>
    <mergeCell ref="AL70:AL71"/>
    <mergeCell ref="J70:J71"/>
    <mergeCell ref="K70:K71"/>
    <mergeCell ref="AG72:AG73"/>
    <mergeCell ref="AI72:AI73"/>
    <mergeCell ref="AJ72:AJ73"/>
    <mergeCell ref="AL72:AL73"/>
    <mergeCell ref="AI74:AI75"/>
    <mergeCell ref="AJ74:AJ75"/>
    <mergeCell ref="AL74:AL75"/>
    <mergeCell ref="S72:S73"/>
    <mergeCell ref="T72:T73"/>
    <mergeCell ref="W72:W73"/>
    <mergeCell ref="Z72:Z73"/>
    <mergeCell ref="AC72:AC73"/>
    <mergeCell ref="AF72:AF73"/>
    <mergeCell ref="J72:J73"/>
    <mergeCell ref="K72:K73"/>
    <mergeCell ref="M72:M73"/>
    <mergeCell ref="N72:N73"/>
    <mergeCell ref="P72:P73"/>
    <mergeCell ref="Q72:Q73"/>
    <mergeCell ref="A70:A71"/>
    <mergeCell ref="S68:S69"/>
    <mergeCell ref="T68:T69"/>
    <mergeCell ref="W68:W69"/>
    <mergeCell ref="Z68:Z69"/>
    <mergeCell ref="AC68:AC69"/>
    <mergeCell ref="AF68:AF69"/>
    <mergeCell ref="J68:J69"/>
    <mergeCell ref="K68:K69"/>
    <mergeCell ref="M68:M69"/>
    <mergeCell ref="N68:N69"/>
    <mergeCell ref="P68:P69"/>
    <mergeCell ref="Q68:Q69"/>
    <mergeCell ref="D68:D69"/>
    <mergeCell ref="E68:E69"/>
    <mergeCell ref="G68:G69"/>
    <mergeCell ref="H68:H69"/>
    <mergeCell ref="A68:A69"/>
    <mergeCell ref="W70:W71"/>
    <mergeCell ref="Z70:Z71"/>
    <mergeCell ref="AC70:AC71"/>
    <mergeCell ref="AF70:AF71"/>
    <mergeCell ref="M70:M71"/>
    <mergeCell ref="N70:N71"/>
    <mergeCell ref="P70:P71"/>
    <mergeCell ref="Q70:Q71"/>
    <mergeCell ref="S70:S71"/>
    <mergeCell ref="T70:T71"/>
    <mergeCell ref="D70:D71"/>
    <mergeCell ref="E70:E71"/>
    <mergeCell ref="G70:G71"/>
    <mergeCell ref="H70:H71"/>
    <mergeCell ref="D72:D73"/>
    <mergeCell ref="E72:E73"/>
    <mergeCell ref="G72:G73"/>
    <mergeCell ref="H72:H73"/>
    <mergeCell ref="A72:A73"/>
    <mergeCell ref="A76:A77"/>
    <mergeCell ref="Z74:Z75"/>
    <mergeCell ref="AA74:AA75"/>
    <mergeCell ref="AC74:AC75"/>
    <mergeCell ref="AD74:AD75"/>
    <mergeCell ref="AF74:AF75"/>
    <mergeCell ref="AG74:AG75"/>
    <mergeCell ref="P74:P75"/>
    <mergeCell ref="Q74:Q75"/>
    <mergeCell ref="S74:S75"/>
    <mergeCell ref="T74:T75"/>
    <mergeCell ref="W74:W75"/>
    <mergeCell ref="X74:X75"/>
    <mergeCell ref="G74:G75"/>
    <mergeCell ref="H74:H75"/>
    <mergeCell ref="J74:J75"/>
    <mergeCell ref="K74:K75"/>
    <mergeCell ref="M74:M75"/>
    <mergeCell ref="N74:N75"/>
    <mergeCell ref="D74:D75"/>
    <mergeCell ref="E74:E75"/>
    <mergeCell ref="A74:A75"/>
    <mergeCell ref="AO82:AO83"/>
    <mergeCell ref="A78:A79"/>
    <mergeCell ref="AD76:AD77"/>
    <mergeCell ref="AF76:AF77"/>
    <mergeCell ref="AG76:AG77"/>
    <mergeCell ref="AI76:AI77"/>
    <mergeCell ref="AJ76:AJ77"/>
    <mergeCell ref="AL76:AL77"/>
    <mergeCell ref="T76:T77"/>
    <mergeCell ref="W76:W77"/>
    <mergeCell ref="X76:X77"/>
    <mergeCell ref="Z76:Z77"/>
    <mergeCell ref="AA76:AA77"/>
    <mergeCell ref="AC76:AC77"/>
    <mergeCell ref="K76:K77"/>
    <mergeCell ref="M76:M77"/>
    <mergeCell ref="N76:N77"/>
    <mergeCell ref="P76:P77"/>
    <mergeCell ref="Q76:Q77"/>
    <mergeCell ref="S76:S77"/>
    <mergeCell ref="D76:D77"/>
    <mergeCell ref="E76:E77"/>
    <mergeCell ref="G76:G77"/>
    <mergeCell ref="H76:H77"/>
    <mergeCell ref="J76:J77"/>
    <mergeCell ref="AO80:AO81"/>
    <mergeCell ref="AO78:AO79"/>
    <mergeCell ref="AO76:AO77"/>
    <mergeCell ref="AI78:AI79"/>
    <mergeCell ref="AL78:AL79"/>
    <mergeCell ref="A80:A81"/>
    <mergeCell ref="S78:S79"/>
    <mergeCell ref="T78:T79"/>
    <mergeCell ref="W78:W79"/>
    <mergeCell ref="Z78:Z79"/>
    <mergeCell ref="AC78:AC79"/>
    <mergeCell ref="AF78:AF79"/>
    <mergeCell ref="J78:J79"/>
    <mergeCell ref="K78:K79"/>
    <mergeCell ref="M78:M79"/>
    <mergeCell ref="N78:N79"/>
    <mergeCell ref="P78:P79"/>
    <mergeCell ref="Q78:Q79"/>
    <mergeCell ref="D78:D79"/>
    <mergeCell ref="E78:E79"/>
    <mergeCell ref="G78:G79"/>
    <mergeCell ref="H78:H79"/>
    <mergeCell ref="W80:W81"/>
    <mergeCell ref="Z80:Z81"/>
    <mergeCell ref="AC80:AC81"/>
    <mergeCell ref="AF80:AF81"/>
    <mergeCell ref="AI80:AI81"/>
    <mergeCell ref="AL80:AL81"/>
    <mergeCell ref="M80:M81"/>
    <mergeCell ref="N80:N81"/>
    <mergeCell ref="P80:P81"/>
    <mergeCell ref="Q80:Q81"/>
    <mergeCell ref="S80:S81"/>
    <mergeCell ref="T80:T81"/>
    <mergeCell ref="D80:D81"/>
    <mergeCell ref="E80:E81"/>
    <mergeCell ref="G80:G81"/>
    <mergeCell ref="H80:H81"/>
    <mergeCell ref="J80:J81"/>
    <mergeCell ref="K80:K81"/>
    <mergeCell ref="AL82:AL83"/>
    <mergeCell ref="AM82:AM83"/>
    <mergeCell ref="A84:A85"/>
    <mergeCell ref="AC82:AC83"/>
    <mergeCell ref="AD82:AD83"/>
    <mergeCell ref="AF82:AF83"/>
    <mergeCell ref="AG82:AG83"/>
    <mergeCell ref="AI82:AI83"/>
    <mergeCell ref="AJ82:AJ83"/>
    <mergeCell ref="S82:S83"/>
    <mergeCell ref="T82:T83"/>
    <mergeCell ref="W82:W83"/>
    <mergeCell ref="X82:X83"/>
    <mergeCell ref="Z82:Z83"/>
    <mergeCell ref="AA82:AA83"/>
    <mergeCell ref="J82:J83"/>
    <mergeCell ref="K82:K83"/>
    <mergeCell ref="M82:M83"/>
    <mergeCell ref="N82:N83"/>
    <mergeCell ref="P82:P83"/>
    <mergeCell ref="Q82:Q83"/>
    <mergeCell ref="D82:D83"/>
    <mergeCell ref="E82:E83"/>
    <mergeCell ref="G82:G83"/>
    <mergeCell ref="H82:H83"/>
    <mergeCell ref="A82:A83"/>
    <mergeCell ref="AO90:AO91"/>
    <mergeCell ref="A86:A87"/>
    <mergeCell ref="AF84:AF85"/>
    <mergeCell ref="AG84:AG85"/>
    <mergeCell ref="AI84:AI85"/>
    <mergeCell ref="AJ84:AJ85"/>
    <mergeCell ref="AL84:AL85"/>
    <mergeCell ref="AM84:AM85"/>
    <mergeCell ref="W84:W85"/>
    <mergeCell ref="X84:X85"/>
    <mergeCell ref="Z84:Z85"/>
    <mergeCell ref="AA84:AA85"/>
    <mergeCell ref="AC84:AC85"/>
    <mergeCell ref="AD84:AD85"/>
    <mergeCell ref="M84:M85"/>
    <mergeCell ref="N84:N85"/>
    <mergeCell ref="P84:P85"/>
    <mergeCell ref="Q84:Q85"/>
    <mergeCell ref="S84:S85"/>
    <mergeCell ref="T84:T85"/>
    <mergeCell ref="D84:D85"/>
    <mergeCell ref="E84:E85"/>
    <mergeCell ref="G84:G85"/>
    <mergeCell ref="H84:H85"/>
    <mergeCell ref="J84:J85"/>
    <mergeCell ref="K84:K85"/>
    <mergeCell ref="AO88:AO89"/>
    <mergeCell ref="AO86:AO87"/>
    <mergeCell ref="AO84:AO85"/>
    <mergeCell ref="AL86:AL87"/>
    <mergeCell ref="AM86:AM87"/>
    <mergeCell ref="A88:A89"/>
    <mergeCell ref="AC86:AC87"/>
    <mergeCell ref="AD86:AD87"/>
    <mergeCell ref="AF86:AF87"/>
    <mergeCell ref="AG86:AG87"/>
    <mergeCell ref="AI86:AI87"/>
    <mergeCell ref="AJ86:AJ87"/>
    <mergeCell ref="S86:S87"/>
    <mergeCell ref="T86:T87"/>
    <mergeCell ref="W86:W87"/>
    <mergeCell ref="X86:X87"/>
    <mergeCell ref="Z86:Z87"/>
    <mergeCell ref="AA86:AA87"/>
    <mergeCell ref="J86:J87"/>
    <mergeCell ref="K86:K87"/>
    <mergeCell ref="M86:M87"/>
    <mergeCell ref="N86:N87"/>
    <mergeCell ref="P86:P87"/>
    <mergeCell ref="Q86:Q87"/>
    <mergeCell ref="D86:D87"/>
    <mergeCell ref="E86:E87"/>
    <mergeCell ref="G86:G87"/>
    <mergeCell ref="H86:H87"/>
    <mergeCell ref="W88:W89"/>
    <mergeCell ref="Z88:Z89"/>
    <mergeCell ref="AC88:AC89"/>
    <mergeCell ref="AF88:AF89"/>
    <mergeCell ref="AI88:AI89"/>
    <mergeCell ref="AL88:AL89"/>
    <mergeCell ref="M88:M89"/>
    <mergeCell ref="N88:N89"/>
    <mergeCell ref="P88:P89"/>
    <mergeCell ref="Q88:Q89"/>
    <mergeCell ref="S88:S89"/>
    <mergeCell ref="T88:T89"/>
    <mergeCell ref="D88:D89"/>
    <mergeCell ref="E88:E89"/>
    <mergeCell ref="G88:G89"/>
    <mergeCell ref="H88:H89"/>
    <mergeCell ref="J88:J89"/>
    <mergeCell ref="K88:K89"/>
    <mergeCell ref="AL90:AL91"/>
    <mergeCell ref="AM90:AM91"/>
    <mergeCell ref="A92:A93"/>
    <mergeCell ref="AC90:AC91"/>
    <mergeCell ref="AD90:AD91"/>
    <mergeCell ref="AF90:AF91"/>
    <mergeCell ref="AG90:AG91"/>
    <mergeCell ref="AI90:AI91"/>
    <mergeCell ref="AJ90:AJ91"/>
    <mergeCell ref="S90:S91"/>
    <mergeCell ref="T90:T91"/>
    <mergeCell ref="W90:W91"/>
    <mergeCell ref="X90:X91"/>
    <mergeCell ref="Z90:Z91"/>
    <mergeCell ref="AA90:AA91"/>
    <mergeCell ref="J90:J91"/>
    <mergeCell ref="K90:K91"/>
    <mergeCell ref="M90:M91"/>
    <mergeCell ref="N90:N91"/>
    <mergeCell ref="P90:P91"/>
    <mergeCell ref="Q90:Q91"/>
    <mergeCell ref="D90:D91"/>
    <mergeCell ref="E90:E91"/>
    <mergeCell ref="G90:G91"/>
    <mergeCell ref="H90:H91"/>
    <mergeCell ref="A90:A91"/>
    <mergeCell ref="AO98:AO99"/>
    <mergeCell ref="A94:A95"/>
    <mergeCell ref="AF92:AF93"/>
    <mergeCell ref="AG92:AG93"/>
    <mergeCell ref="AI92:AI93"/>
    <mergeCell ref="AJ92:AJ93"/>
    <mergeCell ref="AL92:AL93"/>
    <mergeCell ref="AM92:AM93"/>
    <mergeCell ref="W92:W93"/>
    <mergeCell ref="X92:X93"/>
    <mergeCell ref="Z92:Z93"/>
    <mergeCell ref="AA92:AA93"/>
    <mergeCell ref="AC92:AC93"/>
    <mergeCell ref="AD92:AD93"/>
    <mergeCell ref="M92:M93"/>
    <mergeCell ref="N92:N93"/>
    <mergeCell ref="P92:P93"/>
    <mergeCell ref="Q92:Q93"/>
    <mergeCell ref="S92:S93"/>
    <mergeCell ref="T92:T93"/>
    <mergeCell ref="D92:D93"/>
    <mergeCell ref="E92:E93"/>
    <mergeCell ref="G92:G93"/>
    <mergeCell ref="H92:H93"/>
    <mergeCell ref="J92:J93"/>
    <mergeCell ref="K92:K93"/>
    <mergeCell ref="AO96:AO97"/>
    <mergeCell ref="AO94:AO95"/>
    <mergeCell ref="AO92:AO93"/>
    <mergeCell ref="D96:D97"/>
    <mergeCell ref="E96:E97"/>
    <mergeCell ref="G96:G97"/>
    <mergeCell ref="H96:H97"/>
    <mergeCell ref="J96:J97"/>
    <mergeCell ref="K96:K97"/>
    <mergeCell ref="AO100:AO101"/>
    <mergeCell ref="AL94:AL95"/>
    <mergeCell ref="AM94:AM95"/>
    <mergeCell ref="A96:A97"/>
    <mergeCell ref="AC94:AC95"/>
    <mergeCell ref="AD94:AD95"/>
    <mergeCell ref="AF94:AF95"/>
    <mergeCell ref="AG94:AG95"/>
    <mergeCell ref="AI94:AI95"/>
    <mergeCell ref="AJ94:AJ95"/>
    <mergeCell ref="S94:S95"/>
    <mergeCell ref="T94:T95"/>
    <mergeCell ref="W94:W95"/>
    <mergeCell ref="X94:X95"/>
    <mergeCell ref="Z94:Z95"/>
    <mergeCell ref="AA94:AA95"/>
    <mergeCell ref="J94:J95"/>
    <mergeCell ref="K94:K95"/>
    <mergeCell ref="M94:M95"/>
    <mergeCell ref="N94:N95"/>
    <mergeCell ref="P94:P95"/>
    <mergeCell ref="Q94:Q95"/>
    <mergeCell ref="D94:D95"/>
    <mergeCell ref="E94:E95"/>
    <mergeCell ref="G94:G95"/>
    <mergeCell ref="H94:H95"/>
    <mergeCell ref="AF96:AF97"/>
    <mergeCell ref="AG96:AG97"/>
    <mergeCell ref="AI96:AI97"/>
    <mergeCell ref="AJ96:AJ97"/>
    <mergeCell ref="AL96:AL97"/>
    <mergeCell ref="AM96:AM97"/>
    <mergeCell ref="W96:W97"/>
    <mergeCell ref="X96:X97"/>
    <mergeCell ref="Z96:Z97"/>
    <mergeCell ref="AA96:AA97"/>
    <mergeCell ref="AC96:AC97"/>
    <mergeCell ref="AD96:AD97"/>
    <mergeCell ref="M96:M97"/>
    <mergeCell ref="N96:N97"/>
    <mergeCell ref="P96:P97"/>
    <mergeCell ref="Q96:Q97"/>
    <mergeCell ref="S96:S97"/>
    <mergeCell ref="T96:T97"/>
    <mergeCell ref="AL98:AL99"/>
    <mergeCell ref="AM98:AM99"/>
    <mergeCell ref="J100:J101"/>
    <mergeCell ref="K100:K101"/>
    <mergeCell ref="AO104:AO105"/>
    <mergeCell ref="AO102:AO103"/>
    <mergeCell ref="AI102:AI103"/>
    <mergeCell ref="AL102:AL103"/>
    <mergeCell ref="A104:A105"/>
    <mergeCell ref="S102:S103"/>
    <mergeCell ref="A100:A101"/>
    <mergeCell ref="AC98:AC99"/>
    <mergeCell ref="AD98:AD99"/>
    <mergeCell ref="AF98:AF99"/>
    <mergeCell ref="AG98:AG99"/>
    <mergeCell ref="AI98:AI99"/>
    <mergeCell ref="AJ98:AJ99"/>
    <mergeCell ref="S98:S99"/>
    <mergeCell ref="T98:T99"/>
    <mergeCell ref="W98:W99"/>
    <mergeCell ref="X98:X99"/>
    <mergeCell ref="Z98:Z99"/>
    <mergeCell ref="AA98:AA99"/>
    <mergeCell ref="J98:J99"/>
    <mergeCell ref="K98:K99"/>
    <mergeCell ref="M98:M99"/>
    <mergeCell ref="N98:N99"/>
    <mergeCell ref="P98:P99"/>
    <mergeCell ref="Q98:Q99"/>
    <mergeCell ref="D98:D99"/>
    <mergeCell ref="E98:E99"/>
    <mergeCell ref="G98:G99"/>
    <mergeCell ref="H98:H99"/>
    <mergeCell ref="A98:A99"/>
    <mergeCell ref="D102:D103"/>
    <mergeCell ref="E102:E103"/>
    <mergeCell ref="G102:G103"/>
    <mergeCell ref="H102:H103"/>
    <mergeCell ref="D106:D107"/>
    <mergeCell ref="E106:E107"/>
    <mergeCell ref="G106:G107"/>
    <mergeCell ref="H106:H107"/>
    <mergeCell ref="AO106:AO107"/>
    <mergeCell ref="A102:A103"/>
    <mergeCell ref="AF100:AF101"/>
    <mergeCell ref="AG100:AG101"/>
    <mergeCell ref="AI100:AI101"/>
    <mergeCell ref="AJ100:AJ101"/>
    <mergeCell ref="AL100:AL101"/>
    <mergeCell ref="AM100:AM101"/>
    <mergeCell ref="W100:W101"/>
    <mergeCell ref="X100:X101"/>
    <mergeCell ref="Z100:Z101"/>
    <mergeCell ref="AA100:AA101"/>
    <mergeCell ref="AC100:AC101"/>
    <mergeCell ref="AD100:AD101"/>
    <mergeCell ref="M100:M101"/>
    <mergeCell ref="N100:N101"/>
    <mergeCell ref="P100:P101"/>
    <mergeCell ref="Q100:Q101"/>
    <mergeCell ref="S100:S101"/>
    <mergeCell ref="T100:T101"/>
    <mergeCell ref="D100:D101"/>
    <mergeCell ref="E100:E101"/>
    <mergeCell ref="G100:G101"/>
    <mergeCell ref="H100:H101"/>
    <mergeCell ref="AL106:AL107"/>
    <mergeCell ref="AM106:AM107"/>
    <mergeCell ref="AC106:AC107"/>
    <mergeCell ref="AD106:AD107"/>
    <mergeCell ref="AF106:AF107"/>
    <mergeCell ref="AG106:AG107"/>
    <mergeCell ref="AI106:AI107"/>
    <mergeCell ref="T102:T103"/>
    <mergeCell ref="W102:W103"/>
    <mergeCell ref="Z102:Z103"/>
    <mergeCell ref="AC102:AC103"/>
    <mergeCell ref="AF102:AF103"/>
    <mergeCell ref="J102:J103"/>
    <mergeCell ref="K102:K103"/>
    <mergeCell ref="M102:M103"/>
    <mergeCell ref="N102:N103"/>
    <mergeCell ref="P102:P103"/>
    <mergeCell ref="Q102:Q103"/>
    <mergeCell ref="AL104:AL105"/>
    <mergeCell ref="AM104:AM105"/>
    <mergeCell ref="W104:W105"/>
    <mergeCell ref="X104:X105"/>
    <mergeCell ref="Z104:Z105"/>
    <mergeCell ref="AA104:AA105"/>
    <mergeCell ref="AC104:AC105"/>
    <mergeCell ref="AD104:AD105"/>
    <mergeCell ref="M104:M105"/>
    <mergeCell ref="N104:N105"/>
    <mergeCell ref="P104:P105"/>
    <mergeCell ref="Q104:Q105"/>
    <mergeCell ref="S104:S105"/>
    <mergeCell ref="T104:T105"/>
    <mergeCell ref="A106:A107"/>
    <mergeCell ref="AF104:AF105"/>
    <mergeCell ref="AG104:AG105"/>
    <mergeCell ref="AI104:AI105"/>
    <mergeCell ref="AJ104:AJ105"/>
    <mergeCell ref="D104:D105"/>
    <mergeCell ref="E104:E105"/>
    <mergeCell ref="G104:G105"/>
    <mergeCell ref="H104:H105"/>
    <mergeCell ref="J104:J105"/>
    <mergeCell ref="K104:K105"/>
    <mergeCell ref="AJ106:AJ107"/>
    <mergeCell ref="S106:S107"/>
    <mergeCell ref="T106:T107"/>
    <mergeCell ref="W106:W107"/>
    <mergeCell ref="X106:X107"/>
    <mergeCell ref="Z106:Z107"/>
    <mergeCell ref="AA106:AA107"/>
    <mergeCell ref="J106:J107"/>
    <mergeCell ref="K106:K107"/>
    <mergeCell ref="M106:M107"/>
    <mergeCell ref="N106:N107"/>
    <mergeCell ref="P106:P107"/>
    <mergeCell ref="Q106:Q10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11"/>
  <sheetViews>
    <sheetView zoomScaleNormal="100" workbookViewId="0">
      <pane xSplit="2" ySplit="1" topLeftCell="CN75" activePane="bottomRight" state="frozen"/>
      <selection pane="topRight" activeCell="C1" sqref="C1"/>
      <selection pane="bottomLeft" activeCell="A2" sqref="A2"/>
      <selection pane="bottomRight" activeCell="DM76" activeCellId="8" sqref="CN76 CQ76 CT76 CW76 CZ76 DC76 DH76 DK76 DM76"/>
    </sheetView>
  </sheetViews>
  <sheetFormatPr baseColWidth="10" defaultColWidth="11.42578125" defaultRowHeight="11.25" x14ac:dyDescent="0.2"/>
  <cols>
    <col min="1" max="1" width="13" style="68" customWidth="1"/>
    <col min="2" max="2" width="23.42578125" style="68" customWidth="1"/>
    <col min="3" max="4" width="11.42578125" style="77" hidden="1" customWidth="1"/>
    <col min="5" max="5" width="18.28515625" style="78" hidden="1" customWidth="1"/>
    <col min="6" max="6" width="9.140625" style="77" hidden="1" customWidth="1"/>
    <col min="7" max="7" width="8.85546875" style="77" hidden="1" customWidth="1"/>
    <col min="8" max="8" width="18.28515625" style="78" hidden="1" customWidth="1"/>
    <col min="9" max="9" width="8.42578125" style="77" hidden="1" customWidth="1"/>
    <col min="10" max="10" width="9" style="77" hidden="1" customWidth="1"/>
    <col min="11" max="11" width="20" style="78" hidden="1" customWidth="1"/>
    <col min="12" max="12" width="8.42578125" style="77" hidden="1" customWidth="1"/>
    <col min="13" max="13" width="9" style="77" hidden="1" customWidth="1"/>
    <col min="14" max="14" width="18.28515625" style="78" hidden="1" customWidth="1"/>
    <col min="15" max="15" width="8.42578125" style="77" hidden="1" customWidth="1"/>
    <col min="16" max="16" width="9" style="77" hidden="1" customWidth="1"/>
    <col min="17" max="17" width="18.28515625" style="78" hidden="1" customWidth="1"/>
    <col min="18" max="18" width="6.7109375" style="77" customWidth="1"/>
    <col min="19" max="19" width="7.42578125" style="77" customWidth="1"/>
    <col min="20" max="20" width="18.28515625" style="78" hidden="1" customWidth="1"/>
    <col min="21" max="21" width="6.7109375" style="77" customWidth="1"/>
    <col min="22" max="22" width="7" style="77" customWidth="1"/>
    <col min="23" max="23" width="22.5703125" style="78" hidden="1" customWidth="1"/>
    <col min="24" max="24" width="7" style="77" customWidth="1"/>
    <col min="25" max="25" width="9" style="77" customWidth="1"/>
    <col min="26" max="26" width="24.42578125" style="78" hidden="1" customWidth="1"/>
    <col min="27" max="27" width="8.42578125" style="77" customWidth="1"/>
    <col min="28" max="28" width="9" style="77" customWidth="1"/>
    <col min="29" max="29" width="24.42578125" style="78" hidden="1" customWidth="1"/>
    <col min="30" max="30" width="8.42578125" style="77" customWidth="1"/>
    <col min="31" max="31" width="9" style="77" customWidth="1"/>
    <col min="32" max="32" width="24.42578125" style="78" hidden="1" customWidth="1"/>
    <col min="33" max="33" width="8.42578125" style="77" customWidth="1"/>
    <col min="34" max="34" width="9" style="77" customWidth="1"/>
    <col min="35" max="35" width="24.42578125" style="78" hidden="1" customWidth="1"/>
    <col min="36" max="36" width="8.42578125" style="77" customWidth="1"/>
    <col min="37" max="37" width="10.5703125" style="77" customWidth="1"/>
    <col min="38" max="38" width="24.42578125" style="78" hidden="1" customWidth="1"/>
    <col min="39" max="39" width="8.42578125" style="77" customWidth="1"/>
    <col min="40" max="40" width="10.5703125" style="77" customWidth="1"/>
    <col min="41" max="41" width="24.42578125" style="78" hidden="1" customWidth="1"/>
    <col min="42" max="42" width="8.28515625" style="68" customWidth="1"/>
    <col min="43" max="43" width="8.7109375" style="68" customWidth="1"/>
    <col min="44" max="44" width="7.7109375" style="68" hidden="1" customWidth="1"/>
    <col min="45" max="45" width="10" style="68" customWidth="1"/>
    <col min="46" max="46" width="9.28515625" style="68" customWidth="1"/>
    <col min="47" max="47" width="8.140625" style="68" hidden="1" customWidth="1"/>
    <col min="48" max="48" width="10" style="68" customWidth="1"/>
    <col min="49" max="49" width="9.28515625" style="68" customWidth="1"/>
    <col min="50" max="50" width="7.85546875" style="68" hidden="1" customWidth="1"/>
    <col min="51" max="51" width="10" style="68" customWidth="1"/>
    <col min="52" max="52" width="9.28515625" style="68" customWidth="1"/>
    <col min="53" max="53" width="6.85546875" style="68" hidden="1" customWidth="1"/>
    <col min="54" max="54" width="6.85546875" style="68" customWidth="1"/>
    <col min="55" max="55" width="10.28515625" style="68" customWidth="1"/>
    <col min="56" max="56" width="15.7109375" style="68" hidden="1" customWidth="1"/>
    <col min="57" max="57" width="6.7109375" style="68" customWidth="1"/>
    <col min="58" max="58" width="10.28515625" style="68" customWidth="1"/>
    <col min="59" max="59" width="17.42578125" style="68" hidden="1" customWidth="1"/>
    <col min="60" max="60" width="7.42578125" style="68" customWidth="1"/>
    <col min="61" max="61" width="10.28515625" style="68" customWidth="1"/>
    <col min="62" max="62" width="19.5703125" style="68" hidden="1" customWidth="1"/>
    <col min="63" max="63" width="6.85546875" style="68" customWidth="1"/>
    <col min="64" max="64" width="10.28515625" style="68" customWidth="1"/>
    <col min="65" max="65" width="19.5703125" style="68" hidden="1" customWidth="1"/>
    <col min="66" max="66" width="7.42578125" style="68" customWidth="1"/>
    <col min="67" max="67" width="10.28515625" style="68" customWidth="1"/>
    <col min="68" max="68" width="19.5703125" style="68" hidden="1" customWidth="1"/>
    <col min="69" max="69" width="6.42578125" style="68" customWidth="1"/>
    <col min="70" max="70" width="10.28515625" style="68" customWidth="1"/>
    <col min="71" max="71" width="19.5703125" style="68" hidden="1" customWidth="1"/>
    <col min="72" max="72" width="9.85546875" style="79" hidden="1" customWidth="1"/>
    <col min="73" max="73" width="7.28515625" style="79" customWidth="1"/>
    <col min="74" max="74" width="8.28515625" style="79" customWidth="1"/>
    <col min="75" max="75" width="24.85546875" style="79" hidden="1" customWidth="1"/>
    <col min="76" max="76" width="6.7109375" style="79" customWidth="1"/>
    <col min="77" max="77" width="7.7109375" style="79" customWidth="1"/>
    <col min="78" max="78" width="26.28515625" style="79" hidden="1" customWidth="1"/>
    <col min="79" max="79" width="6.7109375" style="79" customWidth="1"/>
    <col min="80" max="80" width="7.7109375" style="79" customWidth="1"/>
    <col min="81" max="81" width="26.28515625" style="79" hidden="1" customWidth="1"/>
    <col min="82" max="82" width="6.7109375" style="79" customWidth="1"/>
    <col min="83" max="83" width="7.7109375" style="79" customWidth="1"/>
    <col min="84" max="84" width="48" style="79" hidden="1" customWidth="1"/>
    <col min="85" max="85" width="6.7109375" style="79" customWidth="1"/>
    <col min="86" max="86" width="7.7109375" style="79" customWidth="1"/>
    <col min="87" max="87" width="30.5703125" style="79" hidden="1" customWidth="1"/>
    <col min="88" max="88" width="6.7109375" style="79" customWidth="1"/>
    <col min="89" max="89" width="7.7109375" style="79" customWidth="1"/>
    <col min="90" max="90" width="29.140625" style="79" hidden="1" customWidth="1"/>
    <col min="91" max="91" width="6.7109375" style="79" hidden="1" customWidth="1"/>
    <col min="92" max="92" width="6" style="68" customWidth="1"/>
    <col min="93" max="93" width="7.5703125" style="68" customWidth="1"/>
    <col min="94" max="94" width="27.28515625" style="68" hidden="1" customWidth="1"/>
    <col min="95" max="95" width="6" style="68" customWidth="1"/>
    <col min="96" max="96" width="8.140625" style="68" customWidth="1"/>
    <col min="97" max="97" width="25.85546875" style="68" hidden="1" customWidth="1"/>
    <col min="98" max="98" width="10.28515625" style="68" customWidth="1"/>
    <col min="99" max="99" width="7.5703125" style="68" customWidth="1"/>
    <col min="100" max="100" width="24.7109375" style="68" hidden="1" customWidth="1"/>
    <col min="101" max="101" width="6" style="68" customWidth="1"/>
    <col min="102" max="102" width="8.28515625" style="68" customWidth="1"/>
    <col min="103" max="103" width="42.42578125" style="68" hidden="1" customWidth="1"/>
    <col min="104" max="104" width="7.5703125" style="68" customWidth="1"/>
    <col min="105" max="105" width="8.28515625" style="68" customWidth="1"/>
    <col min="106" max="106" width="84.140625" style="68" hidden="1" customWidth="1"/>
    <col min="107" max="107" width="8.140625" style="68" customWidth="1"/>
    <col min="108" max="108" width="8.85546875" style="79" customWidth="1"/>
    <col min="109" max="109" width="47.140625" style="68" hidden="1" customWidth="1"/>
    <col min="110" max="110" width="8.140625" style="68" hidden="1" customWidth="1"/>
    <col min="111" max="111" width="11.42578125" style="68" hidden="1" customWidth="1"/>
    <col min="112" max="112" width="8.140625" style="68" customWidth="1"/>
    <col min="113" max="113" width="10.140625" style="79" customWidth="1"/>
    <col min="114" max="114" width="49.140625" style="68" hidden="1" customWidth="1"/>
    <col min="115" max="115" width="8.140625" style="68" customWidth="1"/>
    <col min="116" max="116" width="10.140625" style="79" customWidth="1"/>
    <col min="117" max="117" width="8.140625" style="68" customWidth="1"/>
    <col min="118" max="118" width="11.7109375" style="79" customWidth="1"/>
    <col min="119" max="16384" width="11.42578125" style="68"/>
  </cols>
  <sheetData>
    <row r="1" spans="1:118" ht="28.5" customHeight="1" x14ac:dyDescent="0.2">
      <c r="A1" s="258" t="s">
        <v>0</v>
      </c>
      <c r="B1" s="259"/>
      <c r="C1" s="62" t="s">
        <v>1</v>
      </c>
      <c r="D1" s="62" t="s">
        <v>2</v>
      </c>
      <c r="E1" s="63" t="s">
        <v>3</v>
      </c>
      <c r="F1" s="64">
        <v>42552</v>
      </c>
      <c r="G1" s="62" t="s">
        <v>2</v>
      </c>
      <c r="H1" s="63" t="s">
        <v>3</v>
      </c>
      <c r="I1" s="64">
        <v>42583</v>
      </c>
      <c r="J1" s="62" t="s">
        <v>2</v>
      </c>
      <c r="K1" s="63" t="s">
        <v>3</v>
      </c>
      <c r="L1" s="64">
        <v>42614</v>
      </c>
      <c r="M1" s="62" t="s">
        <v>2</v>
      </c>
      <c r="N1" s="63" t="s">
        <v>3</v>
      </c>
      <c r="O1" s="64">
        <v>42644</v>
      </c>
      <c r="P1" s="62" t="s">
        <v>2</v>
      </c>
      <c r="Q1" s="63" t="s">
        <v>3</v>
      </c>
      <c r="R1" s="64">
        <v>42736</v>
      </c>
      <c r="S1" s="62" t="s">
        <v>2</v>
      </c>
      <c r="T1" s="63" t="s">
        <v>3</v>
      </c>
      <c r="U1" s="64">
        <v>42767</v>
      </c>
      <c r="V1" s="62" t="s">
        <v>2</v>
      </c>
      <c r="W1" s="63" t="s">
        <v>3</v>
      </c>
      <c r="X1" s="64">
        <v>42795</v>
      </c>
      <c r="Y1" s="62" t="s">
        <v>2</v>
      </c>
      <c r="Z1" s="63" t="s">
        <v>3</v>
      </c>
      <c r="AA1" s="64">
        <v>42826</v>
      </c>
      <c r="AB1" s="62" t="s">
        <v>2</v>
      </c>
      <c r="AC1" s="63" t="s">
        <v>3</v>
      </c>
      <c r="AD1" s="64">
        <v>42856</v>
      </c>
      <c r="AE1" s="62" t="s">
        <v>2</v>
      </c>
      <c r="AF1" s="63" t="s">
        <v>3</v>
      </c>
      <c r="AG1" s="64">
        <v>42887</v>
      </c>
      <c r="AH1" s="62" t="s">
        <v>2</v>
      </c>
      <c r="AI1" s="63" t="s">
        <v>3</v>
      </c>
      <c r="AJ1" s="64">
        <v>42917</v>
      </c>
      <c r="AK1" s="62" t="s">
        <v>2</v>
      </c>
      <c r="AL1" s="63" t="s">
        <v>3</v>
      </c>
      <c r="AM1" s="64">
        <v>42948</v>
      </c>
      <c r="AN1" s="62" t="s">
        <v>2</v>
      </c>
      <c r="AO1" s="63" t="s">
        <v>3</v>
      </c>
      <c r="AP1" s="64">
        <v>42979</v>
      </c>
      <c r="AQ1" s="62" t="s">
        <v>2</v>
      </c>
      <c r="AR1" s="63" t="s">
        <v>3</v>
      </c>
      <c r="AS1" s="64">
        <v>43009</v>
      </c>
      <c r="AT1" s="62" t="s">
        <v>2</v>
      </c>
      <c r="AU1" s="63" t="s">
        <v>3</v>
      </c>
      <c r="AV1" s="64">
        <v>43040</v>
      </c>
      <c r="AW1" s="62" t="s">
        <v>2</v>
      </c>
      <c r="AX1" s="63" t="s">
        <v>3</v>
      </c>
      <c r="AY1" s="64">
        <v>43070</v>
      </c>
      <c r="AZ1" s="62" t="s">
        <v>2</v>
      </c>
      <c r="BA1" s="63" t="s">
        <v>3</v>
      </c>
      <c r="BB1" s="64">
        <v>43101</v>
      </c>
      <c r="BC1" s="62" t="s">
        <v>2</v>
      </c>
      <c r="BD1" s="63" t="s">
        <v>3</v>
      </c>
      <c r="BE1" s="64">
        <v>43132</v>
      </c>
      <c r="BF1" s="62" t="s">
        <v>2</v>
      </c>
      <c r="BG1" s="63" t="s">
        <v>3</v>
      </c>
      <c r="BH1" s="64">
        <v>43160</v>
      </c>
      <c r="BI1" s="62" t="s">
        <v>2</v>
      </c>
      <c r="BJ1" s="63" t="s">
        <v>3</v>
      </c>
      <c r="BK1" s="64">
        <v>43191</v>
      </c>
      <c r="BL1" s="62" t="s">
        <v>2</v>
      </c>
      <c r="BM1" s="63" t="s">
        <v>3</v>
      </c>
      <c r="BN1" s="64">
        <v>43221</v>
      </c>
      <c r="BO1" s="62" t="s">
        <v>2</v>
      </c>
      <c r="BP1" s="63" t="s">
        <v>3</v>
      </c>
      <c r="BQ1" s="64">
        <v>43252</v>
      </c>
      <c r="BR1" s="62" t="s">
        <v>2</v>
      </c>
      <c r="BS1" s="63" t="s">
        <v>3</v>
      </c>
      <c r="BT1" s="64" t="s">
        <v>223</v>
      </c>
      <c r="BU1" s="64">
        <v>43282</v>
      </c>
      <c r="BV1" s="64" t="s">
        <v>232</v>
      </c>
      <c r="BW1" s="65" t="s">
        <v>3</v>
      </c>
      <c r="BX1" s="64">
        <v>43313</v>
      </c>
      <c r="BY1" s="64" t="s">
        <v>232</v>
      </c>
      <c r="BZ1" s="65" t="s">
        <v>3</v>
      </c>
      <c r="CA1" s="64">
        <v>43344</v>
      </c>
      <c r="CB1" s="64" t="s">
        <v>232</v>
      </c>
      <c r="CC1" s="65" t="s">
        <v>3</v>
      </c>
      <c r="CD1" s="64">
        <v>43374</v>
      </c>
      <c r="CE1" s="64" t="s">
        <v>232</v>
      </c>
      <c r="CF1" s="65" t="s">
        <v>3</v>
      </c>
      <c r="CG1" s="64">
        <v>43405</v>
      </c>
      <c r="CH1" s="64" t="s">
        <v>232</v>
      </c>
      <c r="CI1" s="65" t="s">
        <v>3</v>
      </c>
      <c r="CJ1" s="64">
        <v>43435</v>
      </c>
      <c r="CK1" s="64" t="s">
        <v>232</v>
      </c>
      <c r="CL1" s="65" t="s">
        <v>3</v>
      </c>
      <c r="CM1" s="64" t="s">
        <v>315</v>
      </c>
      <c r="CN1" s="64">
        <v>43466</v>
      </c>
      <c r="CO1" s="66" t="s">
        <v>318</v>
      </c>
      <c r="CP1" s="67" t="s">
        <v>316</v>
      </c>
      <c r="CQ1" s="64">
        <v>43497</v>
      </c>
      <c r="CR1" s="66" t="s">
        <v>317</v>
      </c>
      <c r="CS1" s="63" t="s">
        <v>316</v>
      </c>
      <c r="CT1" s="64">
        <v>43525</v>
      </c>
      <c r="CU1" s="66" t="s">
        <v>374</v>
      </c>
      <c r="CV1" s="63" t="s">
        <v>316</v>
      </c>
      <c r="CW1" s="64">
        <v>43556</v>
      </c>
      <c r="CX1" s="66" t="s">
        <v>374</v>
      </c>
      <c r="CY1" s="63" t="s">
        <v>316</v>
      </c>
      <c r="CZ1" s="64">
        <v>43586</v>
      </c>
      <c r="DA1" s="66" t="s">
        <v>437</v>
      </c>
      <c r="DB1" s="63" t="s">
        <v>316</v>
      </c>
      <c r="DC1" s="64">
        <v>43617</v>
      </c>
      <c r="DD1" s="66" t="s">
        <v>470</v>
      </c>
      <c r="DE1" s="98" t="s">
        <v>473</v>
      </c>
      <c r="DF1" s="64" t="s">
        <v>471</v>
      </c>
      <c r="DG1" s="98" t="s">
        <v>472</v>
      </c>
      <c r="DH1" s="64">
        <v>43647</v>
      </c>
      <c r="DI1" s="66" t="s">
        <v>478</v>
      </c>
      <c r="DJ1" s="98" t="s">
        <v>473</v>
      </c>
      <c r="DK1" s="64">
        <v>43678</v>
      </c>
      <c r="DL1" s="66" t="s">
        <v>480</v>
      </c>
      <c r="DM1" s="64">
        <v>43709</v>
      </c>
      <c r="DN1" s="66" t="s">
        <v>481</v>
      </c>
    </row>
    <row r="2" spans="1:118" ht="27" hidden="1" customHeight="1" x14ac:dyDescent="0.2">
      <c r="A2" s="195" t="s">
        <v>4</v>
      </c>
      <c r="B2" s="69" t="s">
        <v>5</v>
      </c>
      <c r="C2" s="70">
        <v>0</v>
      </c>
      <c r="D2" s="242">
        <v>0</v>
      </c>
      <c r="E2" s="71"/>
      <c r="F2" s="70">
        <v>0</v>
      </c>
      <c r="G2" s="242">
        <v>0</v>
      </c>
      <c r="H2" s="71"/>
      <c r="I2" s="70">
        <v>0</v>
      </c>
      <c r="J2" s="242" t="s">
        <v>47</v>
      </c>
      <c r="K2" s="71"/>
      <c r="L2" s="70">
        <v>0</v>
      </c>
      <c r="M2" s="242" t="s">
        <v>47</v>
      </c>
      <c r="N2" s="242"/>
      <c r="O2" s="70">
        <v>0</v>
      </c>
      <c r="P2" s="242" t="s">
        <v>47</v>
      </c>
      <c r="Q2" s="242"/>
      <c r="R2" s="70">
        <v>0</v>
      </c>
      <c r="S2" s="242" t="s">
        <v>47</v>
      </c>
      <c r="T2" s="242"/>
      <c r="U2" s="70">
        <v>0</v>
      </c>
      <c r="V2" s="242" t="s">
        <v>47</v>
      </c>
      <c r="W2" s="242"/>
      <c r="X2" s="70">
        <v>0</v>
      </c>
      <c r="Y2" s="242" t="s">
        <v>47</v>
      </c>
      <c r="Z2" s="242"/>
      <c r="AA2" s="70">
        <v>0</v>
      </c>
      <c r="AB2" s="242" t="s">
        <v>47</v>
      </c>
      <c r="AC2" s="242"/>
      <c r="AD2" s="70">
        <v>0</v>
      </c>
      <c r="AE2" s="242" t="s">
        <v>47</v>
      </c>
      <c r="AF2" s="242"/>
      <c r="AG2" s="70">
        <v>0</v>
      </c>
      <c r="AH2" s="242" t="s">
        <v>47</v>
      </c>
      <c r="AI2" s="242"/>
      <c r="AJ2" s="70">
        <v>0</v>
      </c>
      <c r="AK2" s="242" t="s">
        <v>47</v>
      </c>
      <c r="AL2" s="242"/>
      <c r="AM2" s="70" t="s">
        <v>47</v>
      </c>
      <c r="AN2" s="242" t="s">
        <v>47</v>
      </c>
      <c r="AO2" s="242"/>
      <c r="AP2" s="70" t="s">
        <v>47</v>
      </c>
      <c r="AQ2" s="242" t="s">
        <v>47</v>
      </c>
      <c r="AR2" s="242"/>
      <c r="AS2" s="70" t="s">
        <v>47</v>
      </c>
      <c r="AT2" s="242" t="s">
        <v>47</v>
      </c>
      <c r="AU2" s="242"/>
      <c r="AV2" s="70" t="s">
        <v>47</v>
      </c>
      <c r="AW2" s="242" t="s">
        <v>47</v>
      </c>
      <c r="AX2" s="242"/>
      <c r="AY2" s="70" t="s">
        <v>47</v>
      </c>
      <c r="AZ2" s="242" t="s">
        <v>47</v>
      </c>
      <c r="BA2" s="242"/>
      <c r="BB2" s="70" t="s">
        <v>47</v>
      </c>
      <c r="BC2" s="242" t="s">
        <v>47</v>
      </c>
      <c r="BD2" s="242"/>
      <c r="BE2" s="70" t="s">
        <v>47</v>
      </c>
      <c r="BF2" s="242" t="s">
        <v>47</v>
      </c>
      <c r="BG2" s="242"/>
      <c r="BH2" s="70" t="s">
        <v>47</v>
      </c>
      <c r="BI2" s="242" t="s">
        <v>47</v>
      </c>
      <c r="BJ2" s="242"/>
      <c r="BK2" s="70" t="s">
        <v>47</v>
      </c>
      <c r="BL2" s="242" t="s">
        <v>47</v>
      </c>
      <c r="BM2" s="242"/>
      <c r="BN2" s="70" t="s">
        <v>47</v>
      </c>
      <c r="BO2" s="242" t="s">
        <v>47</v>
      </c>
      <c r="BP2" s="242"/>
      <c r="BQ2" s="70" t="s">
        <v>47</v>
      </c>
      <c r="BR2" s="242" t="s">
        <v>47</v>
      </c>
      <c r="BS2" s="242"/>
      <c r="BT2" s="70"/>
      <c r="BU2" s="70"/>
      <c r="BV2" s="70"/>
      <c r="BW2" s="72"/>
      <c r="BX2" s="70"/>
      <c r="BY2" s="70"/>
      <c r="BZ2" s="72"/>
      <c r="CA2" s="70"/>
      <c r="CB2" s="70"/>
      <c r="CC2" s="72"/>
      <c r="CD2" s="70"/>
      <c r="CE2" s="70"/>
      <c r="CF2" s="72"/>
      <c r="CG2" s="70"/>
      <c r="CH2" s="70"/>
      <c r="CI2" s="72"/>
      <c r="CJ2" s="70"/>
      <c r="CK2" s="70"/>
      <c r="CL2" s="72"/>
      <c r="CM2" s="70"/>
    </row>
    <row r="3" spans="1:118" ht="26.25" hidden="1" customHeight="1" x14ac:dyDescent="0.2">
      <c r="A3" s="195"/>
      <c r="B3" s="69" t="s">
        <v>6</v>
      </c>
      <c r="C3" s="70">
        <v>0</v>
      </c>
      <c r="D3" s="243"/>
      <c r="E3" s="71"/>
      <c r="F3" s="70">
        <v>0</v>
      </c>
      <c r="G3" s="243"/>
      <c r="H3" s="71"/>
      <c r="I3" s="70">
        <v>0</v>
      </c>
      <c r="J3" s="243"/>
      <c r="K3" s="71"/>
      <c r="L3" s="70">
        <v>0</v>
      </c>
      <c r="M3" s="243"/>
      <c r="N3" s="243"/>
      <c r="O3" s="70">
        <v>0</v>
      </c>
      <c r="P3" s="243"/>
      <c r="Q3" s="243"/>
      <c r="R3" s="70">
        <v>0</v>
      </c>
      <c r="S3" s="243"/>
      <c r="T3" s="243"/>
      <c r="U3" s="70">
        <v>0</v>
      </c>
      <c r="V3" s="243"/>
      <c r="W3" s="243"/>
      <c r="X3" s="70">
        <v>0</v>
      </c>
      <c r="Y3" s="243"/>
      <c r="Z3" s="243"/>
      <c r="AA3" s="70">
        <v>0</v>
      </c>
      <c r="AB3" s="243"/>
      <c r="AC3" s="243"/>
      <c r="AD3" s="70">
        <v>0</v>
      </c>
      <c r="AE3" s="243"/>
      <c r="AF3" s="243"/>
      <c r="AG3" s="70">
        <v>0</v>
      </c>
      <c r="AH3" s="243"/>
      <c r="AI3" s="243"/>
      <c r="AJ3" s="70">
        <v>0</v>
      </c>
      <c r="AK3" s="243"/>
      <c r="AL3" s="243"/>
      <c r="AM3" s="70" t="s">
        <v>47</v>
      </c>
      <c r="AN3" s="243"/>
      <c r="AO3" s="243"/>
      <c r="AP3" s="70" t="s">
        <v>47</v>
      </c>
      <c r="AQ3" s="243"/>
      <c r="AR3" s="243"/>
      <c r="AS3" s="70" t="s">
        <v>47</v>
      </c>
      <c r="AT3" s="243"/>
      <c r="AU3" s="243"/>
      <c r="AV3" s="70" t="s">
        <v>47</v>
      </c>
      <c r="AW3" s="243"/>
      <c r="AX3" s="243"/>
      <c r="AY3" s="70" t="s">
        <v>47</v>
      </c>
      <c r="AZ3" s="243"/>
      <c r="BA3" s="243"/>
      <c r="BB3" s="70" t="s">
        <v>47</v>
      </c>
      <c r="BC3" s="243"/>
      <c r="BD3" s="243"/>
      <c r="BE3" s="70" t="s">
        <v>47</v>
      </c>
      <c r="BF3" s="243"/>
      <c r="BG3" s="243"/>
      <c r="BH3" s="70" t="s">
        <v>47</v>
      </c>
      <c r="BI3" s="243"/>
      <c r="BJ3" s="243"/>
      <c r="BK3" s="70" t="s">
        <v>47</v>
      </c>
      <c r="BL3" s="243"/>
      <c r="BM3" s="243"/>
      <c r="BN3" s="70" t="s">
        <v>47</v>
      </c>
      <c r="BO3" s="243"/>
      <c r="BP3" s="243"/>
      <c r="BQ3" s="70" t="s">
        <v>47</v>
      </c>
      <c r="BR3" s="243"/>
      <c r="BS3" s="243"/>
      <c r="BT3" s="70"/>
      <c r="BU3" s="70"/>
      <c r="BV3" s="70"/>
      <c r="BW3" s="72"/>
      <c r="BX3" s="70"/>
      <c r="BY3" s="70"/>
      <c r="BZ3" s="72"/>
      <c r="CA3" s="70"/>
      <c r="CB3" s="70"/>
      <c r="CC3" s="72"/>
      <c r="CD3" s="70"/>
      <c r="CE3" s="70"/>
      <c r="CF3" s="72"/>
      <c r="CG3" s="70"/>
      <c r="CH3" s="70"/>
      <c r="CI3" s="72"/>
      <c r="CJ3" s="70"/>
      <c r="CK3" s="70"/>
      <c r="CL3" s="72"/>
      <c r="CM3" s="70"/>
    </row>
    <row r="4" spans="1:118" ht="17.25" hidden="1" customHeight="1" x14ac:dyDescent="0.2">
      <c r="A4" s="195" t="s">
        <v>7</v>
      </c>
      <c r="B4" s="69" t="s">
        <v>8</v>
      </c>
      <c r="C4" s="70">
        <v>0</v>
      </c>
      <c r="D4" s="242">
        <v>0</v>
      </c>
      <c r="E4" s="71"/>
      <c r="F4" s="70">
        <v>0</v>
      </c>
      <c r="G4" s="242">
        <v>0</v>
      </c>
      <c r="H4" s="71"/>
      <c r="I4" s="70">
        <v>0</v>
      </c>
      <c r="J4" s="242" t="s">
        <v>47</v>
      </c>
      <c r="K4" s="71"/>
      <c r="L4" s="70">
        <v>0</v>
      </c>
      <c r="M4" s="242" t="s">
        <v>47</v>
      </c>
      <c r="N4" s="242"/>
      <c r="O4" s="70">
        <v>0</v>
      </c>
      <c r="P4" s="242" t="s">
        <v>47</v>
      </c>
      <c r="Q4" s="242"/>
      <c r="R4" s="70">
        <v>0</v>
      </c>
      <c r="S4" s="242" t="s">
        <v>47</v>
      </c>
      <c r="T4" s="242"/>
      <c r="U4" s="70">
        <v>0</v>
      </c>
      <c r="V4" s="242" t="s">
        <v>47</v>
      </c>
      <c r="W4" s="242"/>
      <c r="X4" s="70">
        <v>0</v>
      </c>
      <c r="Y4" s="242" t="s">
        <v>47</v>
      </c>
      <c r="Z4" s="242"/>
      <c r="AA4" s="70">
        <v>0</v>
      </c>
      <c r="AB4" s="242" t="s">
        <v>47</v>
      </c>
      <c r="AC4" s="242"/>
      <c r="AD4" s="70">
        <v>0</v>
      </c>
      <c r="AE4" s="242" t="s">
        <v>47</v>
      </c>
      <c r="AF4" s="242"/>
      <c r="AG4" s="70">
        <v>0</v>
      </c>
      <c r="AH4" s="242" t="s">
        <v>47</v>
      </c>
      <c r="AI4" s="242"/>
      <c r="AJ4" s="70">
        <v>0</v>
      </c>
      <c r="AK4" s="242" t="s">
        <v>47</v>
      </c>
      <c r="AL4" s="242"/>
      <c r="AM4" s="70" t="s">
        <v>47</v>
      </c>
      <c r="AN4" s="242" t="s">
        <v>47</v>
      </c>
      <c r="AO4" s="242"/>
      <c r="AP4" s="70" t="s">
        <v>47</v>
      </c>
      <c r="AQ4" s="242" t="s">
        <v>47</v>
      </c>
      <c r="AR4" s="242"/>
      <c r="AS4" s="70" t="s">
        <v>47</v>
      </c>
      <c r="AT4" s="242" t="s">
        <v>47</v>
      </c>
      <c r="AU4" s="242"/>
      <c r="AV4" s="70" t="s">
        <v>47</v>
      </c>
      <c r="AW4" s="242" t="s">
        <v>47</v>
      </c>
      <c r="AX4" s="242"/>
      <c r="AY4" s="70" t="s">
        <v>47</v>
      </c>
      <c r="AZ4" s="242" t="s">
        <v>47</v>
      </c>
      <c r="BA4" s="242"/>
      <c r="BB4" s="70" t="s">
        <v>47</v>
      </c>
      <c r="BC4" s="242" t="s">
        <v>47</v>
      </c>
      <c r="BD4" s="242"/>
      <c r="BE4" s="70" t="s">
        <v>47</v>
      </c>
      <c r="BF4" s="242" t="s">
        <v>47</v>
      </c>
      <c r="BG4" s="242"/>
      <c r="BH4" s="70" t="s">
        <v>47</v>
      </c>
      <c r="BI4" s="242" t="s">
        <v>47</v>
      </c>
      <c r="BJ4" s="242"/>
      <c r="BK4" s="70" t="s">
        <v>47</v>
      </c>
      <c r="BL4" s="242" t="s">
        <v>47</v>
      </c>
      <c r="BM4" s="242"/>
      <c r="BN4" s="70" t="s">
        <v>47</v>
      </c>
      <c r="BO4" s="242" t="s">
        <v>47</v>
      </c>
      <c r="BP4" s="242"/>
      <c r="BQ4" s="70" t="s">
        <v>47</v>
      </c>
      <c r="BR4" s="242" t="s">
        <v>47</v>
      </c>
      <c r="BS4" s="242"/>
      <c r="BT4" s="70"/>
      <c r="BU4" s="70"/>
      <c r="BV4" s="70"/>
      <c r="BW4" s="72"/>
      <c r="BX4" s="70"/>
      <c r="BY4" s="70"/>
      <c r="BZ4" s="72"/>
      <c r="CA4" s="70"/>
      <c r="CB4" s="70"/>
      <c r="CC4" s="72"/>
      <c r="CD4" s="70"/>
      <c r="CE4" s="70"/>
      <c r="CF4" s="72"/>
      <c r="CG4" s="70"/>
      <c r="CH4" s="70"/>
      <c r="CI4" s="72"/>
      <c r="CJ4" s="70"/>
      <c r="CK4" s="70"/>
      <c r="CL4" s="72"/>
      <c r="CM4" s="70"/>
    </row>
    <row r="5" spans="1:118" ht="27" hidden="1" customHeight="1" x14ac:dyDescent="0.2">
      <c r="A5" s="195"/>
      <c r="B5" s="69" t="s">
        <v>9</v>
      </c>
      <c r="C5" s="70">
        <v>0</v>
      </c>
      <c r="D5" s="243"/>
      <c r="E5" s="71"/>
      <c r="F5" s="70">
        <v>0</v>
      </c>
      <c r="G5" s="243"/>
      <c r="H5" s="71"/>
      <c r="I5" s="70">
        <v>0</v>
      </c>
      <c r="J5" s="243"/>
      <c r="K5" s="71"/>
      <c r="L5" s="70">
        <v>0</v>
      </c>
      <c r="M5" s="243"/>
      <c r="N5" s="243"/>
      <c r="O5" s="70">
        <v>0</v>
      </c>
      <c r="P5" s="243"/>
      <c r="Q5" s="243"/>
      <c r="R5" s="70">
        <v>0</v>
      </c>
      <c r="S5" s="243"/>
      <c r="T5" s="243"/>
      <c r="U5" s="70">
        <v>0</v>
      </c>
      <c r="V5" s="243"/>
      <c r="W5" s="243"/>
      <c r="X5" s="70">
        <v>0</v>
      </c>
      <c r="Y5" s="243"/>
      <c r="Z5" s="243"/>
      <c r="AA5" s="70">
        <v>0</v>
      </c>
      <c r="AB5" s="243"/>
      <c r="AC5" s="243"/>
      <c r="AD5" s="70">
        <v>0</v>
      </c>
      <c r="AE5" s="243"/>
      <c r="AF5" s="243"/>
      <c r="AG5" s="70">
        <v>0</v>
      </c>
      <c r="AH5" s="243"/>
      <c r="AI5" s="243"/>
      <c r="AJ5" s="70">
        <v>0</v>
      </c>
      <c r="AK5" s="243"/>
      <c r="AL5" s="243"/>
      <c r="AM5" s="70" t="s">
        <v>47</v>
      </c>
      <c r="AN5" s="243"/>
      <c r="AO5" s="243"/>
      <c r="AP5" s="70" t="s">
        <v>47</v>
      </c>
      <c r="AQ5" s="243"/>
      <c r="AR5" s="243"/>
      <c r="AS5" s="70" t="s">
        <v>47</v>
      </c>
      <c r="AT5" s="243"/>
      <c r="AU5" s="243"/>
      <c r="AV5" s="70" t="s">
        <v>47</v>
      </c>
      <c r="AW5" s="243"/>
      <c r="AX5" s="243"/>
      <c r="AY5" s="70" t="s">
        <v>47</v>
      </c>
      <c r="AZ5" s="243"/>
      <c r="BA5" s="243"/>
      <c r="BB5" s="70" t="s">
        <v>47</v>
      </c>
      <c r="BC5" s="243"/>
      <c r="BD5" s="243"/>
      <c r="BE5" s="70" t="s">
        <v>47</v>
      </c>
      <c r="BF5" s="243"/>
      <c r="BG5" s="243"/>
      <c r="BH5" s="70" t="s">
        <v>47</v>
      </c>
      <c r="BI5" s="243"/>
      <c r="BJ5" s="243"/>
      <c r="BK5" s="70" t="s">
        <v>47</v>
      </c>
      <c r="BL5" s="243"/>
      <c r="BM5" s="243"/>
      <c r="BN5" s="70" t="s">
        <v>47</v>
      </c>
      <c r="BO5" s="243"/>
      <c r="BP5" s="243"/>
      <c r="BQ5" s="70" t="s">
        <v>47</v>
      </c>
      <c r="BR5" s="243"/>
      <c r="BS5" s="243"/>
      <c r="BT5" s="70"/>
      <c r="BU5" s="70"/>
      <c r="BV5" s="70"/>
      <c r="BW5" s="72"/>
      <c r="BX5" s="70"/>
      <c r="BY5" s="70"/>
      <c r="BZ5" s="72"/>
      <c r="CA5" s="70"/>
      <c r="CB5" s="70"/>
      <c r="CC5" s="72"/>
      <c r="CD5" s="70"/>
      <c r="CE5" s="70"/>
      <c r="CF5" s="72"/>
      <c r="CG5" s="70"/>
      <c r="CH5" s="70"/>
      <c r="CI5" s="72"/>
      <c r="CJ5" s="70"/>
      <c r="CK5" s="70"/>
      <c r="CL5" s="72"/>
      <c r="CM5" s="70"/>
    </row>
    <row r="6" spans="1:118" ht="55.5" customHeight="1" x14ac:dyDescent="0.2">
      <c r="A6" s="195" t="s">
        <v>10</v>
      </c>
      <c r="B6" s="69" t="s">
        <v>11</v>
      </c>
      <c r="C6" s="70">
        <v>632</v>
      </c>
      <c r="D6" s="248">
        <f>+C6/C7</f>
        <v>0.55633802816901412</v>
      </c>
      <c r="E6" s="71"/>
      <c r="F6" s="70">
        <v>198</v>
      </c>
      <c r="G6" s="248">
        <f>+F6/F7</f>
        <v>0.77042801556420237</v>
      </c>
      <c r="H6" s="71"/>
      <c r="I6" s="70">
        <v>157</v>
      </c>
      <c r="J6" s="248">
        <f>+I6/I7</f>
        <v>0.76960784313725494</v>
      </c>
      <c r="K6" s="71"/>
      <c r="L6" s="70">
        <v>133</v>
      </c>
      <c r="M6" s="248">
        <f>+L6/L7</f>
        <v>0.70744680851063835</v>
      </c>
      <c r="N6" s="242"/>
      <c r="O6" s="70">
        <v>129</v>
      </c>
      <c r="P6" s="248">
        <f>+O6/O7</f>
        <v>0.64824120603015079</v>
      </c>
      <c r="Q6" s="242"/>
      <c r="R6" s="70">
        <v>158</v>
      </c>
      <c r="S6" s="248">
        <f>+R6/R7</f>
        <v>0.60305343511450382</v>
      </c>
      <c r="T6" s="242"/>
      <c r="U6" s="70">
        <v>131</v>
      </c>
      <c r="V6" s="248">
        <f>+U6/U7</f>
        <v>0.68947368421052635</v>
      </c>
      <c r="W6" s="242"/>
      <c r="X6" s="70">
        <v>126</v>
      </c>
      <c r="Y6" s="248">
        <f>+X6/X7</f>
        <v>0.6737967914438503</v>
      </c>
      <c r="Z6" s="242"/>
      <c r="AA6" s="70">
        <v>115</v>
      </c>
      <c r="AB6" s="248">
        <f>+AA6/AA7</f>
        <v>0.63186813186813184</v>
      </c>
      <c r="AC6" s="242"/>
      <c r="AD6" s="70">
        <v>157</v>
      </c>
      <c r="AE6" s="248">
        <f>+AD6/AD7</f>
        <v>0.71040723981900455</v>
      </c>
      <c r="AF6" s="242"/>
      <c r="AG6" s="70">
        <v>110</v>
      </c>
      <c r="AH6" s="248">
        <f>+AG6/AG7</f>
        <v>0.63953488372093026</v>
      </c>
      <c r="AI6" s="242"/>
      <c r="AJ6" s="70">
        <v>121</v>
      </c>
      <c r="AK6" s="248">
        <f>+AJ6/AJ7</f>
        <v>0.65053763440860213</v>
      </c>
      <c r="AL6" s="242"/>
      <c r="AM6" s="70">
        <v>111</v>
      </c>
      <c r="AN6" s="248">
        <f>+AM6/AM7</f>
        <v>0.63068181818181823</v>
      </c>
      <c r="AO6" s="242"/>
      <c r="AP6" s="70">
        <v>113</v>
      </c>
      <c r="AQ6" s="248">
        <f>+AP6/AP7</f>
        <v>0.68902439024390238</v>
      </c>
      <c r="AR6" s="242"/>
      <c r="AS6" s="70">
        <v>96</v>
      </c>
      <c r="AT6" s="248">
        <f>+AS6/AS7</f>
        <v>0.59627329192546585</v>
      </c>
      <c r="AU6" s="242"/>
      <c r="AV6" s="70">
        <v>96</v>
      </c>
      <c r="AW6" s="248">
        <f>+AV6/AV7</f>
        <v>0.64429530201342278</v>
      </c>
      <c r="AX6" s="198" t="s">
        <v>200</v>
      </c>
      <c r="AY6" s="70">
        <v>83</v>
      </c>
      <c r="AZ6" s="248">
        <f>+AY6/AY7</f>
        <v>0.58450704225352113</v>
      </c>
      <c r="BA6" s="198" t="s">
        <v>201</v>
      </c>
      <c r="BB6" s="70">
        <v>92</v>
      </c>
      <c r="BC6" s="248">
        <f>+BB6/BB7</f>
        <v>0.6216216216216216</v>
      </c>
      <c r="BD6" s="198"/>
      <c r="BE6" s="70">
        <v>91</v>
      </c>
      <c r="BF6" s="248">
        <f>+BE6/BE7</f>
        <v>0.68939393939393945</v>
      </c>
      <c r="BG6" s="198"/>
      <c r="BH6" s="70">
        <v>108</v>
      </c>
      <c r="BI6" s="248">
        <f>+BH6/BH7</f>
        <v>0.69230769230769229</v>
      </c>
      <c r="BJ6" s="198"/>
      <c r="BK6" s="70">
        <v>74</v>
      </c>
      <c r="BL6" s="248">
        <f>+BK6/BK7</f>
        <v>0.66666666666666663</v>
      </c>
      <c r="BM6" s="198"/>
      <c r="BN6" s="70">
        <v>78</v>
      </c>
      <c r="BO6" s="248">
        <f>+BN6/BN7</f>
        <v>0.69026548672566368</v>
      </c>
      <c r="BP6" s="198"/>
      <c r="BQ6" s="70">
        <v>80</v>
      </c>
      <c r="BR6" s="248">
        <f>+BQ6/BQ7</f>
        <v>0.64516129032258063</v>
      </c>
      <c r="BS6" s="198"/>
      <c r="BT6" s="70">
        <f>+BB6+BE6+BH6+BK6+BN6+BQ6</f>
        <v>523</v>
      </c>
      <c r="BU6" s="70">
        <v>65</v>
      </c>
      <c r="BV6" s="239">
        <f>BU6/BU7</f>
        <v>0.54166666666666663</v>
      </c>
      <c r="BW6" s="198" t="s">
        <v>233</v>
      </c>
      <c r="BX6" s="70">
        <v>94</v>
      </c>
      <c r="BY6" s="239">
        <f>BX6/BX7</f>
        <v>0.61038961038961037</v>
      </c>
      <c r="BZ6" s="198" t="s">
        <v>234</v>
      </c>
      <c r="CA6" s="70">
        <v>97</v>
      </c>
      <c r="CB6" s="239">
        <f>CA6/CA7</f>
        <v>0.74045801526717558</v>
      </c>
      <c r="CC6" s="198" t="s">
        <v>252</v>
      </c>
      <c r="CD6" s="70">
        <v>83</v>
      </c>
      <c r="CE6" s="239">
        <f>CD6/CD7</f>
        <v>0.61029411764705888</v>
      </c>
      <c r="CF6" s="198" t="s">
        <v>265</v>
      </c>
      <c r="CG6" s="70">
        <v>104</v>
      </c>
      <c r="CH6" s="239">
        <f>CG6/CG7</f>
        <v>0.574585635359116</v>
      </c>
      <c r="CI6" s="198" t="s">
        <v>298</v>
      </c>
      <c r="CJ6" s="70">
        <v>101</v>
      </c>
      <c r="CK6" s="239">
        <f>CJ6/CJ7</f>
        <v>0.71126760563380287</v>
      </c>
      <c r="CL6" s="198" t="s">
        <v>297</v>
      </c>
      <c r="CM6" s="70">
        <f>CJ6+CG6+CD6+CA6+BX6+BU6</f>
        <v>544</v>
      </c>
      <c r="CN6" s="70">
        <v>53</v>
      </c>
      <c r="CO6" s="241">
        <f>(CN6/CN7)*100</f>
        <v>59.550561797752813</v>
      </c>
      <c r="CP6" s="232" t="s">
        <v>319</v>
      </c>
      <c r="CQ6" s="70">
        <v>95</v>
      </c>
      <c r="CR6" s="241">
        <f>(CQ6/CQ7)*100</f>
        <v>67.857142857142861</v>
      </c>
      <c r="CS6" s="232" t="s">
        <v>320</v>
      </c>
      <c r="CT6" s="70">
        <v>123</v>
      </c>
      <c r="CU6" s="241">
        <f>(CT6/CT7)*100</f>
        <v>67.95580110497238</v>
      </c>
      <c r="CV6" s="198" t="s">
        <v>380</v>
      </c>
      <c r="CW6" s="70">
        <v>79</v>
      </c>
      <c r="CX6" s="241">
        <f>(CW6/CW7)*100</f>
        <v>71.818181818181813</v>
      </c>
      <c r="CY6" s="198" t="s">
        <v>399</v>
      </c>
      <c r="CZ6" s="70">
        <v>51</v>
      </c>
      <c r="DA6" s="241">
        <f>(CZ6/CZ7)*100</f>
        <v>67.10526315789474</v>
      </c>
      <c r="DB6" s="198" t="s">
        <v>438</v>
      </c>
      <c r="DC6" s="70">
        <v>89</v>
      </c>
      <c r="DD6" s="266">
        <f>(DC6/DC7)*100</f>
        <v>65.441176470588232</v>
      </c>
      <c r="DE6" s="221" t="s">
        <v>474</v>
      </c>
      <c r="DF6" s="70">
        <f>CN6+CQ6+CT6+CW6+CZ6+DC6</f>
        <v>490</v>
      </c>
      <c r="DG6" s="265">
        <f>(DF6/DF7)*100</f>
        <v>66.939890710382514</v>
      </c>
      <c r="DH6" s="70">
        <v>129</v>
      </c>
      <c r="DI6" s="223">
        <f>(DH6/DH7)*100</f>
        <v>76.785714285714292</v>
      </c>
      <c r="DJ6" s="221" t="s">
        <v>475</v>
      </c>
      <c r="DK6" s="103">
        <v>146</v>
      </c>
      <c r="DL6" s="223">
        <f>(DK6/DK7)*100</f>
        <v>80.219780219780219</v>
      </c>
      <c r="DM6" s="108">
        <v>125</v>
      </c>
      <c r="DN6" s="223">
        <f>(DM6/DM7)*100</f>
        <v>74.404761904761912</v>
      </c>
    </row>
    <row r="7" spans="1:118" ht="63" customHeight="1" x14ac:dyDescent="0.2">
      <c r="A7" s="195"/>
      <c r="B7" s="69" t="s">
        <v>12</v>
      </c>
      <c r="C7" s="70">
        <v>1136</v>
      </c>
      <c r="D7" s="249"/>
      <c r="E7" s="71"/>
      <c r="F7" s="70">
        <v>257</v>
      </c>
      <c r="G7" s="249"/>
      <c r="H7" s="71"/>
      <c r="I7" s="70">
        <v>204</v>
      </c>
      <c r="J7" s="249"/>
      <c r="K7" s="71"/>
      <c r="L7" s="70">
        <v>188</v>
      </c>
      <c r="M7" s="249"/>
      <c r="N7" s="243"/>
      <c r="O7" s="70">
        <v>199</v>
      </c>
      <c r="P7" s="249"/>
      <c r="Q7" s="243"/>
      <c r="R7" s="70">
        <v>262</v>
      </c>
      <c r="S7" s="249"/>
      <c r="T7" s="243"/>
      <c r="U7" s="70">
        <v>190</v>
      </c>
      <c r="V7" s="249"/>
      <c r="W7" s="243"/>
      <c r="X7" s="70">
        <v>187</v>
      </c>
      <c r="Y7" s="249"/>
      <c r="Z7" s="243"/>
      <c r="AA7" s="70">
        <v>182</v>
      </c>
      <c r="AB7" s="249"/>
      <c r="AC7" s="243"/>
      <c r="AD7" s="70">
        <v>221</v>
      </c>
      <c r="AE7" s="249"/>
      <c r="AF7" s="243"/>
      <c r="AG7" s="70">
        <v>172</v>
      </c>
      <c r="AH7" s="249"/>
      <c r="AI7" s="243"/>
      <c r="AJ7" s="70">
        <v>186</v>
      </c>
      <c r="AK7" s="249"/>
      <c r="AL7" s="243"/>
      <c r="AM7" s="70">
        <v>176</v>
      </c>
      <c r="AN7" s="249"/>
      <c r="AO7" s="243"/>
      <c r="AP7" s="70">
        <v>164</v>
      </c>
      <c r="AQ7" s="249"/>
      <c r="AR7" s="243"/>
      <c r="AS7" s="70">
        <v>161</v>
      </c>
      <c r="AT7" s="249"/>
      <c r="AU7" s="243"/>
      <c r="AV7" s="70">
        <v>149</v>
      </c>
      <c r="AW7" s="249"/>
      <c r="AX7" s="199"/>
      <c r="AY7" s="70">
        <v>142</v>
      </c>
      <c r="AZ7" s="249"/>
      <c r="BA7" s="199"/>
      <c r="BB7" s="70">
        <v>148</v>
      </c>
      <c r="BC7" s="249"/>
      <c r="BD7" s="199"/>
      <c r="BE7" s="70">
        <v>132</v>
      </c>
      <c r="BF7" s="249"/>
      <c r="BG7" s="199"/>
      <c r="BH7" s="70">
        <v>156</v>
      </c>
      <c r="BI7" s="249"/>
      <c r="BJ7" s="199"/>
      <c r="BK7" s="70">
        <v>111</v>
      </c>
      <c r="BL7" s="249"/>
      <c r="BM7" s="199"/>
      <c r="BN7" s="70">
        <v>113</v>
      </c>
      <c r="BO7" s="249"/>
      <c r="BP7" s="199"/>
      <c r="BQ7" s="70">
        <v>124</v>
      </c>
      <c r="BR7" s="249"/>
      <c r="BS7" s="199"/>
      <c r="BT7" s="70">
        <f t="shared" ref="BT7:BT70" si="0">+BB7+BE7+BH7+BK7+BN7+BQ7</f>
        <v>784</v>
      </c>
      <c r="BU7" s="70">
        <v>120</v>
      </c>
      <c r="BV7" s="240"/>
      <c r="BW7" s="199"/>
      <c r="BX7" s="70">
        <v>154</v>
      </c>
      <c r="BY7" s="240"/>
      <c r="BZ7" s="199"/>
      <c r="CA7" s="70">
        <v>131</v>
      </c>
      <c r="CB7" s="240"/>
      <c r="CC7" s="199"/>
      <c r="CD7" s="70">
        <v>136</v>
      </c>
      <c r="CE7" s="240"/>
      <c r="CF7" s="199"/>
      <c r="CG7" s="70">
        <v>181</v>
      </c>
      <c r="CH7" s="240"/>
      <c r="CI7" s="199"/>
      <c r="CJ7" s="70">
        <v>142</v>
      </c>
      <c r="CK7" s="240"/>
      <c r="CL7" s="199"/>
      <c r="CM7" s="70">
        <f t="shared" ref="CM7:CM70" si="1">CJ7+CG7+CD7+CA7+BX7+BU7</f>
        <v>864</v>
      </c>
      <c r="CN7" s="70">
        <v>89</v>
      </c>
      <c r="CO7" s="241"/>
      <c r="CP7" s="232"/>
      <c r="CQ7" s="70">
        <v>140</v>
      </c>
      <c r="CR7" s="241"/>
      <c r="CS7" s="232"/>
      <c r="CT7" s="70">
        <v>181</v>
      </c>
      <c r="CU7" s="241"/>
      <c r="CV7" s="199"/>
      <c r="CW7" s="70">
        <v>110</v>
      </c>
      <c r="CX7" s="241"/>
      <c r="CY7" s="199"/>
      <c r="CZ7" s="70">
        <v>76</v>
      </c>
      <c r="DA7" s="241"/>
      <c r="DB7" s="199"/>
      <c r="DC7" s="70">
        <v>136</v>
      </c>
      <c r="DD7" s="266"/>
      <c r="DE7" s="221"/>
      <c r="DF7" s="70">
        <f t="shared" ref="DF7:DF70" si="2">CN7+CQ7+CT7+CW7+CZ7+DC7</f>
        <v>732</v>
      </c>
      <c r="DG7" s="266"/>
      <c r="DH7" s="70">
        <v>168</v>
      </c>
      <c r="DI7" s="223"/>
      <c r="DJ7" s="221"/>
      <c r="DK7" s="103">
        <v>182</v>
      </c>
      <c r="DL7" s="223"/>
      <c r="DM7" s="108">
        <v>168</v>
      </c>
      <c r="DN7" s="223"/>
    </row>
    <row r="8" spans="1:118" ht="77.25" customHeight="1" x14ac:dyDescent="0.2">
      <c r="A8" s="195" t="s">
        <v>13</v>
      </c>
      <c r="B8" s="69" t="s">
        <v>14</v>
      </c>
      <c r="C8" s="70">
        <v>22</v>
      </c>
      <c r="D8" s="248">
        <f>+C8/C9</f>
        <v>1.8998272884283247E-2</v>
      </c>
      <c r="E8" s="71"/>
      <c r="F8" s="70">
        <v>3</v>
      </c>
      <c r="G8" s="248">
        <f>+F8/F9</f>
        <v>1.1538461538461539E-2</v>
      </c>
      <c r="H8" s="71"/>
      <c r="I8" s="70">
        <v>1</v>
      </c>
      <c r="J8" s="248">
        <f>+I8/I9</f>
        <v>4.8780487804878049E-3</v>
      </c>
      <c r="K8" s="71"/>
      <c r="L8" s="70">
        <v>6</v>
      </c>
      <c r="M8" s="248">
        <f>+L8/L9</f>
        <v>3.0927835051546393E-2</v>
      </c>
      <c r="N8" s="242"/>
      <c r="O8" s="70"/>
      <c r="P8" s="248" t="e">
        <f>+O8/O9</f>
        <v>#DIV/0!</v>
      </c>
      <c r="Q8" s="198" t="s">
        <v>172</v>
      </c>
      <c r="R8" s="70">
        <v>9</v>
      </c>
      <c r="S8" s="248">
        <f>+R8/R9</f>
        <v>3.3210332103321034E-2</v>
      </c>
      <c r="T8" s="198"/>
      <c r="U8" s="70">
        <v>3</v>
      </c>
      <c r="V8" s="248">
        <f>+U8/U9</f>
        <v>1.5544041450777202E-2</v>
      </c>
      <c r="W8" s="198"/>
      <c r="X8" s="70">
        <v>6</v>
      </c>
      <c r="Y8" s="248">
        <f>+X8/X9</f>
        <v>3.1088082901554404E-2</v>
      </c>
      <c r="Z8" s="198"/>
      <c r="AA8" s="70">
        <v>5</v>
      </c>
      <c r="AB8" s="248">
        <f>+AA8/AA9</f>
        <v>2.6737967914438502E-2</v>
      </c>
      <c r="AC8" s="198"/>
      <c r="AD8" s="70">
        <v>0</v>
      </c>
      <c r="AE8" s="248">
        <f>+AD8/AD9</f>
        <v>0</v>
      </c>
      <c r="AF8" s="198"/>
      <c r="AG8" s="70">
        <v>4</v>
      </c>
      <c r="AH8" s="248">
        <f>+AG8/AG9</f>
        <v>2.2727272727272728E-2</v>
      </c>
      <c r="AI8" s="198"/>
      <c r="AJ8" s="70">
        <v>5</v>
      </c>
      <c r="AK8" s="248">
        <f>+AJ8/AJ9</f>
        <v>2.6178010471204188E-2</v>
      </c>
      <c r="AL8" s="198"/>
      <c r="AM8" s="70">
        <v>9</v>
      </c>
      <c r="AN8" s="248">
        <f>+AM8/AM9</f>
        <v>4.8648648648648651E-2</v>
      </c>
      <c r="AO8" s="198"/>
      <c r="AP8" s="70">
        <v>8</v>
      </c>
      <c r="AQ8" s="248">
        <f>+AP8/AP9</f>
        <v>4.7337278106508875E-2</v>
      </c>
      <c r="AR8" s="198" t="s">
        <v>204</v>
      </c>
      <c r="AS8" s="70">
        <v>4</v>
      </c>
      <c r="AT8" s="248">
        <f>+AS8/AS9</f>
        <v>2.3668639053254437E-2</v>
      </c>
      <c r="AU8" s="198" t="s">
        <v>203</v>
      </c>
      <c r="AV8" s="70">
        <v>3</v>
      </c>
      <c r="AW8" s="248">
        <f>+AV8/AV9</f>
        <v>1.9736842105263157E-2</v>
      </c>
      <c r="AX8" s="198" t="s">
        <v>203</v>
      </c>
      <c r="AY8" s="70">
        <v>0</v>
      </c>
      <c r="AZ8" s="248">
        <f>+AY8/AY9</f>
        <v>0</v>
      </c>
      <c r="BA8" s="198" t="s">
        <v>202</v>
      </c>
      <c r="BB8" s="70">
        <v>2</v>
      </c>
      <c r="BC8" s="248">
        <f>+BB8/BB9</f>
        <v>1.3333333333333334E-2</v>
      </c>
      <c r="BD8" s="198"/>
      <c r="BE8" s="70">
        <v>1</v>
      </c>
      <c r="BF8" s="248">
        <f>+BE8/BE9</f>
        <v>7.5187969924812026E-3</v>
      </c>
      <c r="BG8" s="198"/>
      <c r="BH8" s="70">
        <v>2</v>
      </c>
      <c r="BI8" s="248">
        <f>+BH8/BH9</f>
        <v>1.2658227848101266E-2</v>
      </c>
      <c r="BJ8" s="198"/>
      <c r="BK8" s="70">
        <v>3</v>
      </c>
      <c r="BL8" s="248">
        <f>+BK8/BK9</f>
        <v>2.6315789473684209E-2</v>
      </c>
      <c r="BM8" s="198"/>
      <c r="BN8" s="70">
        <v>3</v>
      </c>
      <c r="BO8" s="248">
        <f>+BN8/BN9</f>
        <v>2.5862068965517241E-2</v>
      </c>
      <c r="BP8" s="198"/>
      <c r="BQ8" s="70">
        <v>5</v>
      </c>
      <c r="BR8" s="248">
        <f>+BQ8/BQ9</f>
        <v>3.875968992248062E-2</v>
      </c>
      <c r="BS8" s="198"/>
      <c r="BT8" s="70">
        <f t="shared" si="0"/>
        <v>16</v>
      </c>
      <c r="BU8" s="70">
        <v>5</v>
      </c>
      <c r="BV8" s="254">
        <f>BU8/BU9</f>
        <v>0.04</v>
      </c>
      <c r="BW8" s="198" t="s">
        <v>235</v>
      </c>
      <c r="BX8" s="70">
        <v>5</v>
      </c>
      <c r="BY8" s="254">
        <f>BX8/BX9</f>
        <v>3.1446540880503145E-2</v>
      </c>
      <c r="BZ8" s="198" t="s">
        <v>236</v>
      </c>
      <c r="CA8" s="70">
        <v>3</v>
      </c>
      <c r="CB8" s="254">
        <f>CA8/CA9</f>
        <v>2.2388059701492536E-2</v>
      </c>
      <c r="CC8" s="198" t="s">
        <v>253</v>
      </c>
      <c r="CD8" s="70">
        <v>5</v>
      </c>
      <c r="CE8" s="254">
        <f>CD8/CD9</f>
        <v>3.5460992907801421E-2</v>
      </c>
      <c r="CF8" s="198" t="s">
        <v>266</v>
      </c>
      <c r="CG8" s="70">
        <v>3</v>
      </c>
      <c r="CH8" s="254">
        <f>CG8/CG9</f>
        <v>1.6304347826086956E-2</v>
      </c>
      <c r="CI8" s="198" t="s">
        <v>299</v>
      </c>
      <c r="CJ8" s="70">
        <v>13</v>
      </c>
      <c r="CK8" s="254">
        <f>CJ8/CJ9</f>
        <v>8.387096774193549E-2</v>
      </c>
      <c r="CL8" s="198" t="s">
        <v>300</v>
      </c>
      <c r="CM8" s="70">
        <f t="shared" si="1"/>
        <v>34</v>
      </c>
      <c r="CN8" s="70">
        <v>1</v>
      </c>
      <c r="CO8" s="241">
        <f>(CN8/CN9)*1000</f>
        <v>11.111111111111111</v>
      </c>
      <c r="CP8" s="232" t="s">
        <v>321</v>
      </c>
      <c r="CQ8" s="70">
        <v>4</v>
      </c>
      <c r="CR8" s="241">
        <f>(CQ8/CQ9)*1000</f>
        <v>27.777777777777775</v>
      </c>
      <c r="CS8" s="232" t="s">
        <v>324</v>
      </c>
      <c r="CT8" s="70">
        <v>4</v>
      </c>
      <c r="CU8" s="241">
        <f>(CT8/CT9)*1000</f>
        <v>21.621621621621621</v>
      </c>
      <c r="CV8" s="198" t="s">
        <v>375</v>
      </c>
      <c r="CW8" s="70">
        <v>1</v>
      </c>
      <c r="CX8" s="241">
        <f>(CW8/CW9)*1000</f>
        <v>8.8495575221238933</v>
      </c>
      <c r="CY8" s="198" t="s">
        <v>400</v>
      </c>
      <c r="CZ8" s="70">
        <v>4</v>
      </c>
      <c r="DA8" s="241">
        <f>(CZ8/CZ9)*1000</f>
        <v>50</v>
      </c>
      <c r="DB8" s="198" t="s">
        <v>465</v>
      </c>
      <c r="DC8" s="70">
        <v>3</v>
      </c>
      <c r="DD8" s="223">
        <f>(DC8/DC9)*1000</f>
        <v>21.582733812949641</v>
      </c>
      <c r="DE8" s="222" t="s">
        <v>479</v>
      </c>
      <c r="DF8" s="70">
        <f t="shared" si="2"/>
        <v>17</v>
      </c>
      <c r="DG8" s="265">
        <f>(DF8/DF9)*1000</f>
        <v>22.63648468708389</v>
      </c>
      <c r="DH8" s="70">
        <v>6</v>
      </c>
      <c r="DI8" s="223">
        <f>(DH8/DH9)*1000</f>
        <v>34.482758620689651</v>
      </c>
      <c r="DJ8" s="224" t="s">
        <v>476</v>
      </c>
      <c r="DK8" s="103">
        <v>9</v>
      </c>
      <c r="DL8" s="223">
        <f>(DK8/DK9)*1000</f>
        <v>47.120418848167539</v>
      </c>
      <c r="DM8" s="108">
        <v>8</v>
      </c>
      <c r="DN8" s="223">
        <f>(DM8/DM9)*1000</f>
        <v>45.454545454545453</v>
      </c>
    </row>
    <row r="9" spans="1:118" ht="105" customHeight="1" x14ac:dyDescent="0.2">
      <c r="A9" s="195"/>
      <c r="B9" s="69" t="s">
        <v>15</v>
      </c>
      <c r="C9" s="70">
        <v>1158</v>
      </c>
      <c r="D9" s="249"/>
      <c r="E9" s="71"/>
      <c r="F9" s="70">
        <f>257+3</f>
        <v>260</v>
      </c>
      <c r="G9" s="249"/>
      <c r="H9" s="71"/>
      <c r="I9" s="70">
        <v>205</v>
      </c>
      <c r="J9" s="249"/>
      <c r="K9" s="71"/>
      <c r="L9" s="70">
        <f>188+6</f>
        <v>194</v>
      </c>
      <c r="M9" s="249"/>
      <c r="N9" s="243"/>
      <c r="O9" s="70"/>
      <c r="P9" s="249"/>
      <c r="Q9" s="199"/>
      <c r="R9" s="70">
        <f>262+9</f>
        <v>271</v>
      </c>
      <c r="S9" s="249"/>
      <c r="T9" s="199"/>
      <c r="U9" s="70">
        <v>193</v>
      </c>
      <c r="V9" s="249"/>
      <c r="W9" s="199"/>
      <c r="X9" s="70">
        <f>187+6</f>
        <v>193</v>
      </c>
      <c r="Y9" s="249"/>
      <c r="Z9" s="199"/>
      <c r="AA9" s="70">
        <v>187</v>
      </c>
      <c r="AB9" s="249"/>
      <c r="AC9" s="199"/>
      <c r="AD9" s="70">
        <v>221</v>
      </c>
      <c r="AE9" s="249"/>
      <c r="AF9" s="199"/>
      <c r="AG9" s="70">
        <f>AG7+AG8</f>
        <v>176</v>
      </c>
      <c r="AH9" s="249"/>
      <c r="AI9" s="199"/>
      <c r="AJ9" s="70">
        <f>+AJ7+AJ8</f>
        <v>191</v>
      </c>
      <c r="AK9" s="249"/>
      <c r="AL9" s="199"/>
      <c r="AM9" s="70">
        <f>+AM7+AM8</f>
        <v>185</v>
      </c>
      <c r="AN9" s="249"/>
      <c r="AO9" s="199"/>
      <c r="AP9" s="70">
        <f>+AP7+5</f>
        <v>169</v>
      </c>
      <c r="AQ9" s="249"/>
      <c r="AR9" s="199"/>
      <c r="AS9" s="70">
        <f>+AS7+8</f>
        <v>169</v>
      </c>
      <c r="AT9" s="249"/>
      <c r="AU9" s="199"/>
      <c r="AV9" s="70">
        <f>+AV7+AV8</f>
        <v>152</v>
      </c>
      <c r="AW9" s="249"/>
      <c r="AX9" s="199"/>
      <c r="AY9" s="70">
        <v>142</v>
      </c>
      <c r="AZ9" s="249"/>
      <c r="BA9" s="199"/>
      <c r="BB9" s="70">
        <f>+BB7+BB8</f>
        <v>150</v>
      </c>
      <c r="BC9" s="249"/>
      <c r="BD9" s="199"/>
      <c r="BE9" s="70">
        <f>+BE7+BE8</f>
        <v>133</v>
      </c>
      <c r="BF9" s="249"/>
      <c r="BG9" s="199"/>
      <c r="BH9" s="70">
        <f>+BH7+BH8</f>
        <v>158</v>
      </c>
      <c r="BI9" s="249"/>
      <c r="BJ9" s="199"/>
      <c r="BK9" s="70">
        <f>+BK7+BK8</f>
        <v>114</v>
      </c>
      <c r="BL9" s="249"/>
      <c r="BM9" s="199"/>
      <c r="BN9" s="70">
        <f>+BN7+BN8</f>
        <v>116</v>
      </c>
      <c r="BO9" s="249"/>
      <c r="BP9" s="199"/>
      <c r="BQ9" s="70">
        <f>+BQ7+BQ8</f>
        <v>129</v>
      </c>
      <c r="BR9" s="249"/>
      <c r="BS9" s="199"/>
      <c r="BT9" s="70">
        <f t="shared" si="0"/>
        <v>800</v>
      </c>
      <c r="BU9" s="70">
        <f>+BU8+120</f>
        <v>125</v>
      </c>
      <c r="BV9" s="255"/>
      <c r="BW9" s="199"/>
      <c r="BX9" s="70">
        <v>159</v>
      </c>
      <c r="BY9" s="255"/>
      <c r="BZ9" s="199"/>
      <c r="CA9" s="70">
        <f>131+3</f>
        <v>134</v>
      </c>
      <c r="CB9" s="255"/>
      <c r="CC9" s="199"/>
      <c r="CD9" s="70">
        <f>+CD7+CD8</f>
        <v>141</v>
      </c>
      <c r="CE9" s="255"/>
      <c r="CF9" s="199"/>
      <c r="CG9" s="70">
        <v>184</v>
      </c>
      <c r="CH9" s="255"/>
      <c r="CI9" s="199"/>
      <c r="CJ9" s="70">
        <f>+CJ7+CJ8</f>
        <v>155</v>
      </c>
      <c r="CK9" s="255"/>
      <c r="CL9" s="199"/>
      <c r="CM9" s="70">
        <f t="shared" si="1"/>
        <v>898</v>
      </c>
      <c r="CN9" s="70">
        <v>90</v>
      </c>
      <c r="CO9" s="241"/>
      <c r="CP9" s="232"/>
      <c r="CQ9" s="70">
        <v>144</v>
      </c>
      <c r="CR9" s="241"/>
      <c r="CS9" s="232"/>
      <c r="CT9" s="70">
        <f>+CT7+CT8</f>
        <v>185</v>
      </c>
      <c r="CU9" s="241"/>
      <c r="CV9" s="199"/>
      <c r="CW9" s="70">
        <v>113</v>
      </c>
      <c r="CX9" s="241"/>
      <c r="CY9" s="199"/>
      <c r="CZ9" s="70">
        <f>76+4</f>
        <v>80</v>
      </c>
      <c r="DA9" s="241"/>
      <c r="DB9" s="199"/>
      <c r="DC9" s="70">
        <f>136+3</f>
        <v>139</v>
      </c>
      <c r="DD9" s="223"/>
      <c r="DE9" s="222"/>
      <c r="DF9" s="70">
        <f t="shared" si="2"/>
        <v>751</v>
      </c>
      <c r="DG9" s="266"/>
      <c r="DH9" s="70">
        <f>+DH7+6</f>
        <v>174</v>
      </c>
      <c r="DI9" s="223"/>
      <c r="DJ9" s="224"/>
      <c r="DK9" s="103">
        <f>+DK8+DK7</f>
        <v>191</v>
      </c>
      <c r="DL9" s="223"/>
      <c r="DM9" s="108">
        <f>+DM8+DM7</f>
        <v>176</v>
      </c>
      <c r="DN9" s="223"/>
    </row>
    <row r="10" spans="1:118" ht="50.25" customHeight="1" x14ac:dyDescent="0.2">
      <c r="A10" s="195" t="s">
        <v>16</v>
      </c>
      <c r="B10" s="69" t="s">
        <v>17</v>
      </c>
      <c r="C10" s="70">
        <v>64</v>
      </c>
      <c r="D10" s="248">
        <f>+C10/C11</f>
        <v>12.8</v>
      </c>
      <c r="E10" s="71"/>
      <c r="F10" s="70">
        <v>50</v>
      </c>
      <c r="G10" s="248">
        <v>0</v>
      </c>
      <c r="H10" s="71"/>
      <c r="I10" s="70">
        <v>50</v>
      </c>
      <c r="J10" s="248">
        <v>0</v>
      </c>
      <c r="K10" s="71"/>
      <c r="L10" s="70">
        <v>44</v>
      </c>
      <c r="M10" s="248">
        <v>0</v>
      </c>
      <c r="N10" s="242"/>
      <c r="O10" s="70"/>
      <c r="P10" s="248">
        <v>0</v>
      </c>
      <c r="Q10" s="198" t="s">
        <v>172</v>
      </c>
      <c r="R10" s="70">
        <v>84</v>
      </c>
      <c r="S10" s="248">
        <v>0</v>
      </c>
      <c r="T10" s="198"/>
      <c r="U10" s="70">
        <v>69</v>
      </c>
      <c r="V10" s="248">
        <v>0</v>
      </c>
      <c r="W10" s="198" t="s">
        <v>177</v>
      </c>
      <c r="X10" s="70">
        <v>44</v>
      </c>
      <c r="Y10" s="248">
        <v>0</v>
      </c>
      <c r="Z10" s="198" t="s">
        <v>180</v>
      </c>
      <c r="AA10" s="70">
        <v>52</v>
      </c>
      <c r="AB10" s="248">
        <v>0</v>
      </c>
      <c r="AC10" s="198" t="s">
        <v>185</v>
      </c>
      <c r="AD10" s="70">
        <v>34</v>
      </c>
      <c r="AE10" s="248">
        <v>0</v>
      </c>
      <c r="AF10" s="198" t="s">
        <v>186</v>
      </c>
      <c r="AG10" s="70">
        <v>8</v>
      </c>
      <c r="AH10" s="248">
        <v>0</v>
      </c>
      <c r="AI10" s="198" t="s">
        <v>187</v>
      </c>
      <c r="AJ10" s="70">
        <v>14</v>
      </c>
      <c r="AK10" s="248">
        <v>0</v>
      </c>
      <c r="AL10" s="198" t="s">
        <v>188</v>
      </c>
      <c r="AM10" s="70">
        <v>7</v>
      </c>
      <c r="AN10" s="248">
        <v>0</v>
      </c>
      <c r="AO10" s="198" t="s">
        <v>194</v>
      </c>
      <c r="AP10" s="70">
        <v>19</v>
      </c>
      <c r="AQ10" s="248">
        <v>0</v>
      </c>
      <c r="AR10" s="198" t="s">
        <v>197</v>
      </c>
      <c r="AS10" s="70">
        <v>8</v>
      </c>
      <c r="AT10" s="248">
        <v>0</v>
      </c>
      <c r="AU10" s="198" t="s">
        <v>198</v>
      </c>
      <c r="AV10" s="70">
        <v>4</v>
      </c>
      <c r="AW10" s="248">
        <v>0</v>
      </c>
      <c r="AX10" s="198" t="s">
        <v>197</v>
      </c>
      <c r="AY10" s="70">
        <v>16</v>
      </c>
      <c r="AZ10" s="248">
        <v>0</v>
      </c>
      <c r="BA10" s="198"/>
      <c r="BB10" s="70">
        <v>25</v>
      </c>
      <c r="BC10" s="248">
        <v>0</v>
      </c>
      <c r="BD10" s="198" t="s">
        <v>209</v>
      </c>
      <c r="BE10" s="70">
        <v>4</v>
      </c>
      <c r="BF10" s="248">
        <v>0</v>
      </c>
      <c r="BG10" s="198" t="s">
        <v>209</v>
      </c>
      <c r="BH10" s="70">
        <v>3</v>
      </c>
      <c r="BI10" s="248">
        <v>0</v>
      </c>
      <c r="BJ10" s="198" t="s">
        <v>209</v>
      </c>
      <c r="BK10" s="70">
        <v>4</v>
      </c>
      <c r="BL10" s="248">
        <v>0</v>
      </c>
      <c r="BM10" s="198" t="s">
        <v>209</v>
      </c>
      <c r="BN10" s="70">
        <v>6</v>
      </c>
      <c r="BO10" s="248">
        <v>0</v>
      </c>
      <c r="BP10" s="198" t="s">
        <v>209</v>
      </c>
      <c r="BQ10" s="70">
        <v>4</v>
      </c>
      <c r="BR10" s="248">
        <v>0</v>
      </c>
      <c r="BS10" s="198" t="s">
        <v>209</v>
      </c>
      <c r="BT10" s="70">
        <f t="shared" si="0"/>
        <v>46</v>
      </c>
      <c r="BU10" s="70">
        <v>6</v>
      </c>
      <c r="BV10" s="242">
        <v>0</v>
      </c>
      <c r="BW10" s="198" t="s">
        <v>225</v>
      </c>
      <c r="BX10" s="70">
        <v>6</v>
      </c>
      <c r="BY10" s="242">
        <v>0</v>
      </c>
      <c r="BZ10" s="198" t="s">
        <v>225</v>
      </c>
      <c r="CA10" s="70">
        <v>9</v>
      </c>
      <c r="CB10" s="242">
        <f>CA10/CA11</f>
        <v>4.5</v>
      </c>
      <c r="CC10" s="198" t="s">
        <v>254</v>
      </c>
      <c r="CD10" s="70">
        <v>10</v>
      </c>
      <c r="CE10" s="242">
        <v>0</v>
      </c>
      <c r="CF10" s="198" t="s">
        <v>288</v>
      </c>
      <c r="CG10" s="70">
        <v>16</v>
      </c>
      <c r="CH10" s="242">
        <f>CG10/CG11</f>
        <v>16</v>
      </c>
      <c r="CI10" s="198" t="s">
        <v>301</v>
      </c>
      <c r="CJ10" s="70">
        <v>18</v>
      </c>
      <c r="CK10" s="242">
        <v>0</v>
      </c>
      <c r="CL10" s="198" t="s">
        <v>288</v>
      </c>
      <c r="CM10" s="70">
        <f t="shared" si="1"/>
        <v>65</v>
      </c>
      <c r="CN10" s="70">
        <v>3</v>
      </c>
      <c r="CO10" s="241">
        <v>0</v>
      </c>
      <c r="CP10" s="232" t="s">
        <v>322</v>
      </c>
      <c r="CQ10" s="70">
        <v>1</v>
      </c>
      <c r="CR10" s="241">
        <f>CQ10/CQ11</f>
        <v>1</v>
      </c>
      <c r="CS10" s="232" t="s">
        <v>323</v>
      </c>
      <c r="CT10" s="70">
        <v>3</v>
      </c>
      <c r="CU10" s="241">
        <v>0</v>
      </c>
      <c r="CV10" s="232" t="s">
        <v>377</v>
      </c>
      <c r="CW10" s="70">
        <v>11</v>
      </c>
      <c r="CX10" s="241">
        <f>CW10/CW11</f>
        <v>11</v>
      </c>
      <c r="CY10" s="232" t="s">
        <v>401</v>
      </c>
      <c r="CZ10" s="70">
        <v>8</v>
      </c>
      <c r="DA10" s="241">
        <v>0</v>
      </c>
      <c r="DB10" s="232" t="s">
        <v>441</v>
      </c>
      <c r="DC10" s="70">
        <v>11</v>
      </c>
      <c r="DD10" s="225">
        <v>0</v>
      </c>
      <c r="DE10" s="226" t="s">
        <v>476</v>
      </c>
      <c r="DF10" s="70">
        <f t="shared" si="2"/>
        <v>37</v>
      </c>
      <c r="DG10" s="267">
        <f t="shared" ref="DG10" si="3">DF10/DF11</f>
        <v>18.5</v>
      </c>
      <c r="DH10" s="103">
        <v>12</v>
      </c>
      <c r="DI10" s="223">
        <f>DH10/DH11</f>
        <v>12</v>
      </c>
      <c r="DJ10" s="222" t="s">
        <v>477</v>
      </c>
      <c r="DK10" s="103">
        <v>9</v>
      </c>
      <c r="DL10" s="223">
        <v>0</v>
      </c>
      <c r="DM10" s="108">
        <v>0</v>
      </c>
      <c r="DN10" s="223">
        <v>0</v>
      </c>
    </row>
    <row r="11" spans="1:118" ht="64.5" customHeight="1" x14ac:dyDescent="0.2">
      <c r="A11" s="195"/>
      <c r="B11" s="69" t="s">
        <v>18</v>
      </c>
      <c r="C11" s="70">
        <v>5</v>
      </c>
      <c r="D11" s="249"/>
      <c r="E11" s="71"/>
      <c r="F11" s="70">
        <v>0</v>
      </c>
      <c r="G11" s="249"/>
      <c r="H11" s="71"/>
      <c r="I11" s="70">
        <v>1</v>
      </c>
      <c r="J11" s="249"/>
      <c r="K11" s="71"/>
      <c r="L11" s="70">
        <v>0</v>
      </c>
      <c r="M11" s="249"/>
      <c r="N11" s="243"/>
      <c r="O11" s="70">
        <v>0</v>
      </c>
      <c r="P11" s="249"/>
      <c r="Q11" s="199"/>
      <c r="R11" s="70">
        <v>0</v>
      </c>
      <c r="S11" s="249"/>
      <c r="T11" s="199"/>
      <c r="U11" s="70">
        <v>0</v>
      </c>
      <c r="V11" s="249"/>
      <c r="W11" s="199"/>
      <c r="X11" s="70">
        <v>0</v>
      </c>
      <c r="Y11" s="249"/>
      <c r="Z11" s="199"/>
      <c r="AA11" s="70">
        <v>0</v>
      </c>
      <c r="AB11" s="249"/>
      <c r="AC11" s="199"/>
      <c r="AD11" s="70">
        <v>0</v>
      </c>
      <c r="AE11" s="249"/>
      <c r="AF11" s="199"/>
      <c r="AG11" s="70">
        <v>0</v>
      </c>
      <c r="AH11" s="249"/>
      <c r="AI11" s="199"/>
      <c r="AJ11" s="70">
        <v>0</v>
      </c>
      <c r="AK11" s="249"/>
      <c r="AL11" s="199"/>
      <c r="AM11" s="70">
        <v>0</v>
      </c>
      <c r="AN11" s="249"/>
      <c r="AO11" s="199"/>
      <c r="AP11" s="70">
        <v>0</v>
      </c>
      <c r="AQ11" s="249"/>
      <c r="AR11" s="199"/>
      <c r="AS11" s="70">
        <v>1</v>
      </c>
      <c r="AT11" s="249"/>
      <c r="AU11" s="199"/>
      <c r="AV11" s="70">
        <v>0</v>
      </c>
      <c r="AW11" s="249"/>
      <c r="AX11" s="199"/>
      <c r="AY11" s="70">
        <v>1</v>
      </c>
      <c r="AZ11" s="249"/>
      <c r="BA11" s="199"/>
      <c r="BB11" s="70">
        <v>0</v>
      </c>
      <c r="BC11" s="249"/>
      <c r="BD11" s="199"/>
      <c r="BE11" s="70">
        <v>0</v>
      </c>
      <c r="BF11" s="249"/>
      <c r="BG11" s="199"/>
      <c r="BH11" s="70">
        <v>0</v>
      </c>
      <c r="BI11" s="249"/>
      <c r="BJ11" s="199"/>
      <c r="BK11" s="70">
        <v>0</v>
      </c>
      <c r="BL11" s="249"/>
      <c r="BM11" s="199"/>
      <c r="BN11" s="70">
        <v>0</v>
      </c>
      <c r="BO11" s="249"/>
      <c r="BP11" s="199"/>
      <c r="BQ11" s="70">
        <v>0</v>
      </c>
      <c r="BR11" s="249"/>
      <c r="BS11" s="199"/>
      <c r="BT11" s="70">
        <f t="shared" si="0"/>
        <v>0</v>
      </c>
      <c r="BU11" s="70">
        <v>0</v>
      </c>
      <c r="BV11" s="243"/>
      <c r="BW11" s="199"/>
      <c r="BX11" s="70">
        <v>0</v>
      </c>
      <c r="BY11" s="243"/>
      <c r="BZ11" s="199"/>
      <c r="CA11" s="70">
        <v>2</v>
      </c>
      <c r="CB11" s="243"/>
      <c r="CC11" s="199"/>
      <c r="CD11" s="70">
        <v>0</v>
      </c>
      <c r="CE11" s="243"/>
      <c r="CF11" s="199"/>
      <c r="CG11" s="70">
        <v>1</v>
      </c>
      <c r="CH11" s="243"/>
      <c r="CI11" s="199"/>
      <c r="CJ11" s="70">
        <v>0</v>
      </c>
      <c r="CK11" s="243"/>
      <c r="CL11" s="199"/>
      <c r="CM11" s="70">
        <f t="shared" si="1"/>
        <v>3</v>
      </c>
      <c r="CN11" s="70">
        <v>0</v>
      </c>
      <c r="CO11" s="241"/>
      <c r="CP11" s="232"/>
      <c r="CQ11" s="70">
        <v>1</v>
      </c>
      <c r="CR11" s="241"/>
      <c r="CS11" s="232"/>
      <c r="CT11" s="70">
        <v>0</v>
      </c>
      <c r="CU11" s="241"/>
      <c r="CV11" s="232"/>
      <c r="CW11" s="70">
        <v>1</v>
      </c>
      <c r="CX11" s="241"/>
      <c r="CY11" s="232"/>
      <c r="CZ11" s="70">
        <v>0</v>
      </c>
      <c r="DA11" s="241"/>
      <c r="DB11" s="232"/>
      <c r="DC11" s="70">
        <v>0</v>
      </c>
      <c r="DD11" s="225"/>
      <c r="DE11" s="227"/>
      <c r="DF11" s="70">
        <f t="shared" si="2"/>
        <v>2</v>
      </c>
      <c r="DG11" s="268"/>
      <c r="DH11" s="103">
        <v>1</v>
      </c>
      <c r="DI11" s="223"/>
      <c r="DJ11" s="222"/>
      <c r="DK11" s="103">
        <v>0</v>
      </c>
      <c r="DL11" s="223"/>
      <c r="DM11" s="108">
        <v>0</v>
      </c>
      <c r="DN11" s="223"/>
    </row>
    <row r="12" spans="1:118" ht="37.5" customHeight="1" x14ac:dyDescent="0.2">
      <c r="A12" s="195" t="s">
        <v>19</v>
      </c>
      <c r="B12" s="69" t="s">
        <v>20</v>
      </c>
      <c r="C12" s="70">
        <v>1136</v>
      </c>
      <c r="D12" s="248">
        <f>+C12/C13</f>
        <v>1</v>
      </c>
      <c r="E12" s="71"/>
      <c r="F12" s="70">
        <v>257</v>
      </c>
      <c r="G12" s="248">
        <f>+F12/F13</f>
        <v>1</v>
      </c>
      <c r="H12" s="71"/>
      <c r="I12" s="70">
        <v>204</v>
      </c>
      <c r="J12" s="248">
        <f>+I12/I13</f>
        <v>1</v>
      </c>
      <c r="K12" s="71"/>
      <c r="L12" s="70">
        <v>188</v>
      </c>
      <c r="M12" s="248">
        <f>+L12/L13</f>
        <v>1</v>
      </c>
      <c r="N12" s="242"/>
      <c r="O12" s="70">
        <v>199</v>
      </c>
      <c r="P12" s="248">
        <f>+O12/O13</f>
        <v>1</v>
      </c>
      <c r="Q12" s="242"/>
      <c r="R12" s="70">
        <v>262</v>
      </c>
      <c r="S12" s="248">
        <f>+R12/R13</f>
        <v>1</v>
      </c>
      <c r="T12" s="242"/>
      <c r="U12" s="70">
        <v>190</v>
      </c>
      <c r="V12" s="248">
        <f>+U12/U13</f>
        <v>1</v>
      </c>
      <c r="W12" s="242"/>
      <c r="X12" s="70">
        <v>187</v>
      </c>
      <c r="Y12" s="248">
        <f>+X12/X13</f>
        <v>1</v>
      </c>
      <c r="Z12" s="242"/>
      <c r="AA12" s="70">
        <v>182</v>
      </c>
      <c r="AB12" s="248">
        <f>+AA12/AA13</f>
        <v>1</v>
      </c>
      <c r="AC12" s="242"/>
      <c r="AD12" s="70">
        <v>221</v>
      </c>
      <c r="AE12" s="248">
        <f>+AD12/AD13</f>
        <v>1</v>
      </c>
      <c r="AF12" s="242"/>
      <c r="AG12" s="70">
        <v>172</v>
      </c>
      <c r="AH12" s="248">
        <f>+AG12/AG13</f>
        <v>1</v>
      </c>
      <c r="AI12" s="242"/>
      <c r="AJ12" s="70">
        <v>186</v>
      </c>
      <c r="AK12" s="248">
        <f>+AJ12/AJ13</f>
        <v>1</v>
      </c>
      <c r="AL12" s="242"/>
      <c r="AM12" s="70">
        <v>176</v>
      </c>
      <c r="AN12" s="248">
        <f>+AM12/AM13</f>
        <v>1</v>
      </c>
      <c r="AO12" s="242"/>
      <c r="AP12" s="70">
        <v>164</v>
      </c>
      <c r="AQ12" s="248">
        <f>+AP12/AP13</f>
        <v>1</v>
      </c>
      <c r="AR12" s="242"/>
      <c r="AS12" s="70">
        <v>161</v>
      </c>
      <c r="AT12" s="248">
        <f>+AS12/AS13</f>
        <v>1</v>
      </c>
      <c r="AU12" s="242"/>
      <c r="AV12" s="70">
        <v>149</v>
      </c>
      <c r="AW12" s="248">
        <f>+AV12/AV13</f>
        <v>1</v>
      </c>
      <c r="AX12" s="242"/>
      <c r="AY12" s="70">
        <v>142</v>
      </c>
      <c r="AZ12" s="248">
        <f>+AY12/AY13</f>
        <v>1</v>
      </c>
      <c r="BA12" s="242"/>
      <c r="BB12" s="70">
        <v>148</v>
      </c>
      <c r="BC12" s="248">
        <f>+BB12/BB13</f>
        <v>1</v>
      </c>
      <c r="BD12" s="242"/>
      <c r="BE12" s="70">
        <v>132</v>
      </c>
      <c r="BF12" s="248">
        <f>+BE12/BE13</f>
        <v>1</v>
      </c>
      <c r="BG12" s="242"/>
      <c r="BH12" s="70">
        <v>156</v>
      </c>
      <c r="BI12" s="248">
        <f>+BH12/BH13</f>
        <v>1</v>
      </c>
      <c r="BJ12" s="242"/>
      <c r="BK12" s="70">
        <v>111</v>
      </c>
      <c r="BL12" s="248">
        <f>+BK12/BK13</f>
        <v>1</v>
      </c>
      <c r="BM12" s="242"/>
      <c r="BN12" s="70">
        <v>113</v>
      </c>
      <c r="BO12" s="248">
        <f>+BN12/BN13</f>
        <v>1</v>
      </c>
      <c r="BP12" s="242"/>
      <c r="BQ12" s="70">
        <v>124</v>
      </c>
      <c r="BR12" s="248">
        <f>+BQ12/BQ13</f>
        <v>1</v>
      </c>
      <c r="BS12" s="242"/>
      <c r="BT12" s="70">
        <f t="shared" si="0"/>
        <v>784</v>
      </c>
      <c r="BU12" s="70">
        <v>113</v>
      </c>
      <c r="BV12" s="239">
        <f>BU12/BU13</f>
        <v>0.94166666666666665</v>
      </c>
      <c r="BW12" s="242"/>
      <c r="BX12" s="70">
        <v>59</v>
      </c>
      <c r="BY12" s="239">
        <f>BX12/BX13</f>
        <v>0.38311688311688313</v>
      </c>
      <c r="BZ12" s="242"/>
      <c r="CA12" s="70">
        <v>3</v>
      </c>
      <c r="CB12" s="239">
        <f>CA12/CA13</f>
        <v>2.2900763358778626E-2</v>
      </c>
      <c r="CC12" s="242"/>
      <c r="CD12" s="70">
        <v>133</v>
      </c>
      <c r="CE12" s="239">
        <f>CD12/CD13</f>
        <v>0.9779411764705882</v>
      </c>
      <c r="CF12" s="198" t="s">
        <v>287</v>
      </c>
      <c r="CG12" s="70">
        <v>181</v>
      </c>
      <c r="CH12" s="239">
        <f>CG12/CG13</f>
        <v>1</v>
      </c>
      <c r="CI12" s="198" t="s">
        <v>302</v>
      </c>
      <c r="CJ12" s="70">
        <v>142</v>
      </c>
      <c r="CK12" s="239">
        <f>CJ12/CJ13</f>
        <v>1</v>
      </c>
      <c r="CL12" s="198" t="s">
        <v>302</v>
      </c>
      <c r="CM12" s="70">
        <f t="shared" si="1"/>
        <v>631</v>
      </c>
      <c r="CN12" s="70">
        <v>89</v>
      </c>
      <c r="CO12" s="228">
        <f>CN12/CN13</f>
        <v>1</v>
      </c>
      <c r="CP12" s="232" t="s">
        <v>325</v>
      </c>
      <c r="CQ12" s="70">
        <v>140</v>
      </c>
      <c r="CR12" s="228">
        <f>CQ12/CQ13</f>
        <v>1</v>
      </c>
      <c r="CS12" s="232" t="s">
        <v>325</v>
      </c>
      <c r="CT12" s="70">
        <v>181</v>
      </c>
      <c r="CU12" s="228">
        <f>CT12/CT13</f>
        <v>1</v>
      </c>
      <c r="CV12" s="232" t="s">
        <v>376</v>
      </c>
      <c r="CW12" s="70">
        <v>110</v>
      </c>
      <c r="CX12" s="228">
        <f>CW12/CW13</f>
        <v>1</v>
      </c>
      <c r="CY12" s="232" t="s">
        <v>402</v>
      </c>
      <c r="CZ12" s="70">
        <v>76</v>
      </c>
      <c r="DA12" s="228">
        <f>CZ12/CZ13</f>
        <v>1</v>
      </c>
      <c r="DB12" s="232" t="s">
        <v>442</v>
      </c>
      <c r="DC12" s="70">
        <v>136</v>
      </c>
      <c r="DD12" s="228">
        <f>+DC12/DC13</f>
        <v>1</v>
      </c>
      <c r="DE12" s="229"/>
      <c r="DF12" s="70">
        <f t="shared" si="2"/>
        <v>732</v>
      </c>
      <c r="DG12" s="228">
        <f>+DF12/DF13</f>
        <v>1</v>
      </c>
      <c r="DH12" s="103">
        <v>168</v>
      </c>
      <c r="DI12" s="225">
        <f>+DH12/DH13</f>
        <v>1</v>
      </c>
      <c r="DJ12" s="105"/>
      <c r="DK12" s="103">
        <v>182</v>
      </c>
      <c r="DL12" s="225">
        <f>+DK12/DK13</f>
        <v>1</v>
      </c>
      <c r="DM12" s="108">
        <v>168</v>
      </c>
      <c r="DN12" s="225">
        <f>+DM12/DM13</f>
        <v>1</v>
      </c>
    </row>
    <row r="13" spans="1:118" ht="21.75" customHeight="1" x14ac:dyDescent="0.2">
      <c r="A13" s="195"/>
      <c r="B13" s="69" t="s">
        <v>21</v>
      </c>
      <c r="C13" s="70">
        <v>1136</v>
      </c>
      <c r="D13" s="249"/>
      <c r="E13" s="71"/>
      <c r="F13" s="70">
        <v>257</v>
      </c>
      <c r="G13" s="249"/>
      <c r="H13" s="71"/>
      <c r="I13" s="70">
        <v>204</v>
      </c>
      <c r="J13" s="249"/>
      <c r="K13" s="71"/>
      <c r="L13" s="70">
        <v>188</v>
      </c>
      <c r="M13" s="249"/>
      <c r="N13" s="243"/>
      <c r="O13" s="70">
        <v>199</v>
      </c>
      <c r="P13" s="249"/>
      <c r="Q13" s="243"/>
      <c r="R13" s="70">
        <v>262</v>
      </c>
      <c r="S13" s="249"/>
      <c r="T13" s="243"/>
      <c r="U13" s="70">
        <v>190</v>
      </c>
      <c r="V13" s="249"/>
      <c r="W13" s="243"/>
      <c r="X13" s="70">
        <v>187</v>
      </c>
      <c r="Y13" s="249"/>
      <c r="Z13" s="243"/>
      <c r="AA13" s="70">
        <v>182</v>
      </c>
      <c r="AB13" s="249"/>
      <c r="AC13" s="243"/>
      <c r="AD13" s="70">
        <v>221</v>
      </c>
      <c r="AE13" s="249"/>
      <c r="AF13" s="243"/>
      <c r="AG13" s="70">
        <v>172</v>
      </c>
      <c r="AH13" s="249"/>
      <c r="AI13" s="243"/>
      <c r="AJ13" s="70">
        <v>186</v>
      </c>
      <c r="AK13" s="249"/>
      <c r="AL13" s="243"/>
      <c r="AM13" s="70">
        <v>176</v>
      </c>
      <c r="AN13" s="249"/>
      <c r="AO13" s="243"/>
      <c r="AP13" s="70">
        <v>164</v>
      </c>
      <c r="AQ13" s="249"/>
      <c r="AR13" s="243"/>
      <c r="AS13" s="70">
        <v>161</v>
      </c>
      <c r="AT13" s="249"/>
      <c r="AU13" s="243"/>
      <c r="AV13" s="70">
        <v>149</v>
      </c>
      <c r="AW13" s="249"/>
      <c r="AX13" s="243"/>
      <c r="AY13" s="70">
        <v>142</v>
      </c>
      <c r="AZ13" s="249"/>
      <c r="BA13" s="243"/>
      <c r="BB13" s="70">
        <v>148</v>
      </c>
      <c r="BC13" s="249"/>
      <c r="BD13" s="243"/>
      <c r="BE13" s="70">
        <v>132</v>
      </c>
      <c r="BF13" s="249"/>
      <c r="BG13" s="243"/>
      <c r="BH13" s="70">
        <v>156</v>
      </c>
      <c r="BI13" s="249"/>
      <c r="BJ13" s="243"/>
      <c r="BK13" s="70">
        <v>111</v>
      </c>
      <c r="BL13" s="249"/>
      <c r="BM13" s="243"/>
      <c r="BN13" s="70">
        <v>113</v>
      </c>
      <c r="BO13" s="249"/>
      <c r="BP13" s="243"/>
      <c r="BQ13" s="70">
        <v>124</v>
      </c>
      <c r="BR13" s="249"/>
      <c r="BS13" s="243"/>
      <c r="BT13" s="70">
        <f t="shared" si="0"/>
        <v>784</v>
      </c>
      <c r="BU13" s="70">
        <v>120</v>
      </c>
      <c r="BV13" s="240"/>
      <c r="BW13" s="243"/>
      <c r="BX13" s="70">
        <v>154</v>
      </c>
      <c r="BY13" s="240"/>
      <c r="BZ13" s="243"/>
      <c r="CA13" s="70">
        <v>131</v>
      </c>
      <c r="CB13" s="240"/>
      <c r="CC13" s="243"/>
      <c r="CD13" s="70">
        <v>136</v>
      </c>
      <c r="CE13" s="240"/>
      <c r="CF13" s="199"/>
      <c r="CG13" s="70">
        <v>181</v>
      </c>
      <c r="CH13" s="240"/>
      <c r="CI13" s="199"/>
      <c r="CJ13" s="70">
        <v>142</v>
      </c>
      <c r="CK13" s="240"/>
      <c r="CL13" s="199"/>
      <c r="CM13" s="70">
        <f t="shared" si="1"/>
        <v>864</v>
      </c>
      <c r="CN13" s="70">
        <v>89</v>
      </c>
      <c r="CO13" s="228"/>
      <c r="CP13" s="232"/>
      <c r="CQ13" s="70">
        <v>140</v>
      </c>
      <c r="CR13" s="228"/>
      <c r="CS13" s="232"/>
      <c r="CT13" s="70">
        <v>181</v>
      </c>
      <c r="CU13" s="228"/>
      <c r="CV13" s="232"/>
      <c r="CW13" s="70">
        <v>110</v>
      </c>
      <c r="CX13" s="228"/>
      <c r="CY13" s="232"/>
      <c r="CZ13" s="70">
        <v>76</v>
      </c>
      <c r="DA13" s="228"/>
      <c r="DB13" s="232"/>
      <c r="DC13" s="70">
        <v>136</v>
      </c>
      <c r="DD13" s="228"/>
      <c r="DE13" s="229"/>
      <c r="DF13" s="70">
        <f t="shared" si="2"/>
        <v>732</v>
      </c>
      <c r="DG13" s="228"/>
      <c r="DH13" s="103">
        <v>168</v>
      </c>
      <c r="DI13" s="225"/>
      <c r="DJ13" s="105"/>
      <c r="DK13" s="103">
        <v>182</v>
      </c>
      <c r="DL13" s="225"/>
      <c r="DM13" s="108">
        <v>168</v>
      </c>
      <c r="DN13" s="225"/>
    </row>
    <row r="14" spans="1:118" ht="65.25" customHeight="1" x14ac:dyDescent="0.2">
      <c r="A14" s="195" t="s">
        <v>22</v>
      </c>
      <c r="B14" s="69" t="s">
        <v>23</v>
      </c>
      <c r="C14" s="70">
        <v>0</v>
      </c>
      <c r="D14" s="248">
        <f>+C14/C15</f>
        <v>0</v>
      </c>
      <c r="E14" s="71"/>
      <c r="F14" s="70">
        <v>0</v>
      </c>
      <c r="G14" s="248">
        <f>+F14/F15</f>
        <v>0</v>
      </c>
      <c r="H14" s="71"/>
      <c r="I14" s="70">
        <v>0</v>
      </c>
      <c r="J14" s="248">
        <f>+I14/I15</f>
        <v>0</v>
      </c>
      <c r="K14" s="71"/>
      <c r="L14" s="70">
        <v>0</v>
      </c>
      <c r="M14" s="248">
        <f>+L14/L15</f>
        <v>0</v>
      </c>
      <c r="N14" s="242"/>
      <c r="O14" s="70">
        <v>0</v>
      </c>
      <c r="P14" s="248">
        <f>+O14/O15</f>
        <v>0</v>
      </c>
      <c r="Q14" s="242"/>
      <c r="R14" s="70">
        <v>0</v>
      </c>
      <c r="S14" s="248">
        <f>+R14/R15</f>
        <v>0</v>
      </c>
      <c r="T14" s="242"/>
      <c r="U14" s="70">
        <v>1</v>
      </c>
      <c r="V14" s="248">
        <f>+U14/U15</f>
        <v>3.4482758620689655E-2</v>
      </c>
      <c r="W14" s="242"/>
      <c r="X14" s="70">
        <v>0</v>
      </c>
      <c r="Y14" s="248">
        <f>+X14/X15</f>
        <v>0</v>
      </c>
      <c r="Z14" s="242"/>
      <c r="AA14" s="70">
        <v>0</v>
      </c>
      <c r="AB14" s="248">
        <f>+AA14/AA15</f>
        <v>0</v>
      </c>
      <c r="AC14" s="242"/>
      <c r="AD14" s="70">
        <v>0</v>
      </c>
      <c r="AE14" s="248">
        <f>+AD14/AD15</f>
        <v>0</v>
      </c>
      <c r="AF14" s="242"/>
      <c r="AG14" s="70">
        <v>0</v>
      </c>
      <c r="AH14" s="248">
        <f>+AG14/AG15</f>
        <v>0</v>
      </c>
      <c r="AI14" s="242"/>
      <c r="AJ14" s="70">
        <v>0</v>
      </c>
      <c r="AK14" s="248">
        <f>+AJ14/AJ15</f>
        <v>0</v>
      </c>
      <c r="AL14" s="242"/>
      <c r="AM14" s="70">
        <v>0</v>
      </c>
      <c r="AN14" s="248">
        <f>+AM14/AM15</f>
        <v>0</v>
      </c>
      <c r="AO14" s="242"/>
      <c r="AP14" s="70">
        <v>0</v>
      </c>
      <c r="AQ14" s="248">
        <f>+AP14/AP15</f>
        <v>0</v>
      </c>
      <c r="AR14" s="198" t="s">
        <v>205</v>
      </c>
      <c r="AS14" s="70">
        <v>2</v>
      </c>
      <c r="AT14" s="248">
        <f>+AS14/AS15</f>
        <v>4.7619047619047616E-2</v>
      </c>
      <c r="AU14" s="242"/>
      <c r="AV14" s="70">
        <v>0</v>
      </c>
      <c r="AW14" s="248">
        <f>+AV14/AV15</f>
        <v>0</v>
      </c>
      <c r="AX14" s="198" t="s">
        <v>205</v>
      </c>
      <c r="AY14" s="70">
        <v>0</v>
      </c>
      <c r="AZ14" s="248">
        <f>+AY14/AY15</f>
        <v>0</v>
      </c>
      <c r="BA14" s="198" t="s">
        <v>205</v>
      </c>
      <c r="BB14" s="70">
        <v>0</v>
      </c>
      <c r="BC14" s="248">
        <f>+BB14/BB15</f>
        <v>0</v>
      </c>
      <c r="BD14" s="198" t="s">
        <v>210</v>
      </c>
      <c r="BE14" s="70">
        <v>0</v>
      </c>
      <c r="BF14" s="248">
        <f>+BE14/BE15</f>
        <v>0</v>
      </c>
      <c r="BG14" s="198">
        <v>3</v>
      </c>
      <c r="BH14" s="70">
        <v>1</v>
      </c>
      <c r="BI14" s="248">
        <f>+BH14/BH15</f>
        <v>3.3333333333333333E-2</v>
      </c>
      <c r="BJ14" s="198"/>
      <c r="BK14" s="70">
        <v>0</v>
      </c>
      <c r="BL14" s="248">
        <f>+BK14/BK15</f>
        <v>0</v>
      </c>
      <c r="BM14" s="198"/>
      <c r="BN14" s="70">
        <v>5</v>
      </c>
      <c r="BO14" s="248">
        <f>+BN14/BN15</f>
        <v>0.14285714285714285</v>
      </c>
      <c r="BP14" s="198"/>
      <c r="BQ14" s="70">
        <v>0</v>
      </c>
      <c r="BR14" s="248">
        <f>+BQ14/BQ15</f>
        <v>0</v>
      </c>
      <c r="BS14" s="198"/>
      <c r="BT14" s="70">
        <f t="shared" si="0"/>
        <v>6</v>
      </c>
      <c r="BU14" s="70">
        <v>0</v>
      </c>
      <c r="BV14" s="242">
        <v>0</v>
      </c>
      <c r="BW14" s="198" t="s">
        <v>224</v>
      </c>
      <c r="BX14" s="70">
        <v>0</v>
      </c>
      <c r="BY14" s="242">
        <v>0</v>
      </c>
      <c r="BZ14" s="198" t="s">
        <v>224</v>
      </c>
      <c r="CA14" s="70">
        <v>0</v>
      </c>
      <c r="CB14" s="242">
        <v>0</v>
      </c>
      <c r="CC14" s="198" t="s">
        <v>255</v>
      </c>
      <c r="CD14" s="70">
        <v>0</v>
      </c>
      <c r="CE14" s="242">
        <v>0</v>
      </c>
      <c r="CF14" s="198" t="s">
        <v>267</v>
      </c>
      <c r="CG14" s="70">
        <v>0</v>
      </c>
      <c r="CH14" s="242">
        <v>0</v>
      </c>
      <c r="CI14" s="198" t="s">
        <v>289</v>
      </c>
      <c r="CJ14" s="70">
        <v>0</v>
      </c>
      <c r="CK14" s="242">
        <v>0</v>
      </c>
      <c r="CL14" s="198" t="s">
        <v>224</v>
      </c>
      <c r="CM14" s="70">
        <f t="shared" si="1"/>
        <v>0</v>
      </c>
      <c r="CN14" s="70">
        <v>0</v>
      </c>
      <c r="CO14" s="242">
        <v>0</v>
      </c>
      <c r="CP14" s="232" t="s">
        <v>326</v>
      </c>
      <c r="CQ14" s="70">
        <v>0</v>
      </c>
      <c r="CR14" s="242">
        <v>0</v>
      </c>
      <c r="CS14" s="232" t="s">
        <v>326</v>
      </c>
      <c r="CT14" s="70">
        <v>0</v>
      </c>
      <c r="CU14" s="242">
        <v>0</v>
      </c>
      <c r="CV14" s="232" t="s">
        <v>378</v>
      </c>
      <c r="CW14" s="70">
        <v>0</v>
      </c>
      <c r="CX14" s="242">
        <v>0</v>
      </c>
      <c r="CY14" s="232" t="s">
        <v>378</v>
      </c>
      <c r="CZ14" s="70">
        <v>0</v>
      </c>
      <c r="DA14" s="242">
        <f>CZ14/CZ15</f>
        <v>0</v>
      </c>
      <c r="DB14" s="232" t="s">
        <v>439</v>
      </c>
      <c r="DC14" s="103">
        <v>0</v>
      </c>
      <c r="DD14" s="225">
        <f>+DC14/DC15</f>
        <v>0</v>
      </c>
      <c r="DE14" s="269"/>
      <c r="DF14" s="70">
        <f t="shared" si="2"/>
        <v>0</v>
      </c>
      <c r="DG14" s="267">
        <f t="shared" ref="DG14" si="4">DF14/DF15</f>
        <v>0</v>
      </c>
      <c r="DH14" s="101">
        <v>0</v>
      </c>
      <c r="DI14" s="243">
        <f>+DH14/DH15</f>
        <v>0</v>
      </c>
      <c r="DK14" s="101">
        <v>0</v>
      </c>
      <c r="DL14" s="243">
        <f>+DK14/DK15</f>
        <v>0</v>
      </c>
      <c r="DM14" s="110">
        <v>0</v>
      </c>
      <c r="DN14" s="243">
        <f>+DM14/DM15</f>
        <v>0</v>
      </c>
    </row>
    <row r="15" spans="1:118" ht="39.75" customHeight="1" x14ac:dyDescent="0.2">
      <c r="A15" s="195"/>
      <c r="B15" s="69" t="s">
        <v>24</v>
      </c>
      <c r="C15" s="70">
        <v>91</v>
      </c>
      <c r="D15" s="249"/>
      <c r="E15" s="69" t="s">
        <v>25</v>
      </c>
      <c r="F15" s="70">
        <v>52</v>
      </c>
      <c r="G15" s="249"/>
      <c r="H15" s="69" t="s">
        <v>25</v>
      </c>
      <c r="I15" s="70">
        <v>63</v>
      </c>
      <c r="J15" s="249"/>
      <c r="K15" s="69" t="s">
        <v>25</v>
      </c>
      <c r="L15" s="70">
        <v>55</v>
      </c>
      <c r="M15" s="249"/>
      <c r="N15" s="243" t="s">
        <v>25</v>
      </c>
      <c r="O15" s="70">
        <v>55</v>
      </c>
      <c r="P15" s="249"/>
      <c r="Q15" s="243" t="s">
        <v>25</v>
      </c>
      <c r="R15" s="70">
        <v>42</v>
      </c>
      <c r="S15" s="249"/>
      <c r="T15" s="243" t="s">
        <v>25</v>
      </c>
      <c r="U15" s="70">
        <v>29</v>
      </c>
      <c r="V15" s="249"/>
      <c r="W15" s="243" t="s">
        <v>25</v>
      </c>
      <c r="X15" s="70">
        <v>40</v>
      </c>
      <c r="Y15" s="249"/>
      <c r="Z15" s="243" t="s">
        <v>25</v>
      </c>
      <c r="AA15" s="70">
        <v>24</v>
      </c>
      <c r="AB15" s="249"/>
      <c r="AC15" s="243" t="s">
        <v>25</v>
      </c>
      <c r="AD15" s="70">
        <v>37</v>
      </c>
      <c r="AE15" s="249"/>
      <c r="AF15" s="243" t="s">
        <v>25</v>
      </c>
      <c r="AG15" s="70">
        <v>38</v>
      </c>
      <c r="AH15" s="249"/>
      <c r="AI15" s="243" t="s">
        <v>25</v>
      </c>
      <c r="AJ15" s="70">
        <v>64</v>
      </c>
      <c r="AK15" s="249"/>
      <c r="AL15" s="243" t="s">
        <v>25</v>
      </c>
      <c r="AM15" s="70">
        <v>44</v>
      </c>
      <c r="AN15" s="249"/>
      <c r="AO15" s="243" t="s">
        <v>25</v>
      </c>
      <c r="AP15" s="70">
        <v>49</v>
      </c>
      <c r="AQ15" s="249"/>
      <c r="AR15" s="199"/>
      <c r="AS15" s="70">
        <v>42</v>
      </c>
      <c r="AT15" s="249"/>
      <c r="AU15" s="243" t="s">
        <v>25</v>
      </c>
      <c r="AV15" s="70">
        <v>36</v>
      </c>
      <c r="AW15" s="249"/>
      <c r="AX15" s="199"/>
      <c r="AY15" s="70">
        <v>26</v>
      </c>
      <c r="AZ15" s="249"/>
      <c r="BA15" s="199"/>
      <c r="BB15" s="70">
        <v>28</v>
      </c>
      <c r="BC15" s="249"/>
      <c r="BD15" s="199"/>
      <c r="BE15" s="70">
        <v>36</v>
      </c>
      <c r="BF15" s="249"/>
      <c r="BG15" s="199"/>
      <c r="BH15" s="70">
        <v>30</v>
      </c>
      <c r="BI15" s="249"/>
      <c r="BJ15" s="199"/>
      <c r="BK15" s="70">
        <v>26</v>
      </c>
      <c r="BL15" s="249"/>
      <c r="BM15" s="199"/>
      <c r="BN15" s="70">
        <v>35</v>
      </c>
      <c r="BO15" s="249"/>
      <c r="BP15" s="199"/>
      <c r="BQ15" s="70">
        <v>40</v>
      </c>
      <c r="BR15" s="249"/>
      <c r="BS15" s="199"/>
      <c r="BT15" s="70">
        <f t="shared" si="0"/>
        <v>195</v>
      </c>
      <c r="BU15" s="70">
        <v>28</v>
      </c>
      <c r="BV15" s="243"/>
      <c r="BW15" s="199"/>
      <c r="BX15" s="70">
        <v>37</v>
      </c>
      <c r="BY15" s="243"/>
      <c r="BZ15" s="199"/>
      <c r="CA15" s="70">
        <v>46</v>
      </c>
      <c r="CB15" s="243"/>
      <c r="CC15" s="199"/>
      <c r="CD15" s="70">
        <v>45</v>
      </c>
      <c r="CE15" s="243"/>
      <c r="CF15" s="199"/>
      <c r="CG15" s="70">
        <v>35</v>
      </c>
      <c r="CH15" s="243"/>
      <c r="CI15" s="199"/>
      <c r="CJ15" s="70">
        <v>30</v>
      </c>
      <c r="CK15" s="243"/>
      <c r="CL15" s="199"/>
      <c r="CM15" s="70">
        <f t="shared" si="1"/>
        <v>221</v>
      </c>
      <c r="CN15" s="70">
        <v>11</v>
      </c>
      <c r="CO15" s="243"/>
      <c r="CP15" s="232"/>
      <c r="CQ15" s="70">
        <v>8</v>
      </c>
      <c r="CR15" s="243"/>
      <c r="CS15" s="232"/>
      <c r="CT15" s="70">
        <v>14</v>
      </c>
      <c r="CU15" s="243"/>
      <c r="CV15" s="232"/>
      <c r="CW15" s="70">
        <v>17</v>
      </c>
      <c r="CX15" s="243"/>
      <c r="CY15" s="232"/>
      <c r="CZ15" s="70">
        <v>7</v>
      </c>
      <c r="DA15" s="262"/>
      <c r="DB15" s="198"/>
      <c r="DC15" s="100">
        <v>25</v>
      </c>
      <c r="DD15" s="242"/>
      <c r="DE15" s="270"/>
      <c r="DF15" s="100">
        <f t="shared" si="2"/>
        <v>82</v>
      </c>
      <c r="DG15" s="268"/>
      <c r="DH15" s="100">
        <v>39</v>
      </c>
      <c r="DI15" s="242"/>
      <c r="DK15" s="100">
        <v>29</v>
      </c>
      <c r="DL15" s="242"/>
      <c r="DM15" s="109">
        <v>37</v>
      </c>
      <c r="DN15" s="242"/>
    </row>
    <row r="16" spans="1:118" ht="42.75" customHeight="1" x14ac:dyDescent="0.2">
      <c r="A16" s="195" t="s">
        <v>26</v>
      </c>
      <c r="B16" s="69" t="s">
        <v>27</v>
      </c>
      <c r="C16" s="70">
        <v>0</v>
      </c>
      <c r="D16" s="248">
        <f>+C16/C17</f>
        <v>0</v>
      </c>
      <c r="E16" s="71"/>
      <c r="F16" s="70">
        <v>0</v>
      </c>
      <c r="G16" s="248">
        <f>+F16/F17</f>
        <v>0</v>
      </c>
      <c r="H16" s="71"/>
      <c r="I16" s="70">
        <v>0</v>
      </c>
      <c r="J16" s="248">
        <f>+I16/I17</f>
        <v>0</v>
      </c>
      <c r="K16" s="71"/>
      <c r="L16" s="70">
        <v>0</v>
      </c>
      <c r="M16" s="248">
        <f>+L16/L17</f>
        <v>0</v>
      </c>
      <c r="N16" s="242"/>
      <c r="O16" s="70">
        <v>0</v>
      </c>
      <c r="P16" s="248">
        <f>+O16/O17</f>
        <v>0</v>
      </c>
      <c r="Q16" s="242"/>
      <c r="R16" s="70">
        <v>0</v>
      </c>
      <c r="S16" s="248">
        <f>+R16/R17</f>
        <v>0</v>
      </c>
      <c r="T16" s="242"/>
      <c r="U16" s="70">
        <v>0</v>
      </c>
      <c r="V16" s="248">
        <f>+U16/U17</f>
        <v>0</v>
      </c>
      <c r="W16" s="242"/>
      <c r="X16" s="70">
        <v>0</v>
      </c>
      <c r="Y16" s="248">
        <f>+X16/X17</f>
        <v>0</v>
      </c>
      <c r="Z16" s="242"/>
      <c r="AA16" s="70">
        <v>0</v>
      </c>
      <c r="AB16" s="248">
        <f>+AA16/AA17</f>
        <v>0</v>
      </c>
      <c r="AC16" s="242"/>
      <c r="AD16" s="70">
        <v>0</v>
      </c>
      <c r="AE16" s="248">
        <f>+AD16/AD17</f>
        <v>0</v>
      </c>
      <c r="AF16" s="242"/>
      <c r="AG16" s="70">
        <v>0</v>
      </c>
      <c r="AH16" s="248">
        <f>+AG16/AG17</f>
        <v>0</v>
      </c>
      <c r="AI16" s="242"/>
      <c r="AJ16" s="70">
        <v>0</v>
      </c>
      <c r="AK16" s="248">
        <f>+AJ16/AJ17</f>
        <v>0</v>
      </c>
      <c r="AL16" s="242"/>
      <c r="AM16" s="70">
        <v>0</v>
      </c>
      <c r="AN16" s="248">
        <f>+AM16/AM17</f>
        <v>0</v>
      </c>
      <c r="AO16" s="242"/>
      <c r="AP16" s="70">
        <v>0</v>
      </c>
      <c r="AQ16" s="248">
        <f>+AP16/AP17</f>
        <v>0</v>
      </c>
      <c r="AR16" s="242"/>
      <c r="AS16" s="70">
        <v>0</v>
      </c>
      <c r="AT16" s="248">
        <f>+AS16/AS17</f>
        <v>0</v>
      </c>
      <c r="AU16" s="242"/>
      <c r="AV16" s="70">
        <v>0</v>
      </c>
      <c r="AW16" s="248">
        <f>+AV16/AV17</f>
        <v>0</v>
      </c>
      <c r="AX16" s="242"/>
      <c r="AY16" s="70">
        <v>0</v>
      </c>
      <c r="AZ16" s="248">
        <f>+AY16/AY17</f>
        <v>0</v>
      </c>
      <c r="BA16" s="242"/>
      <c r="BB16" s="70">
        <v>0</v>
      </c>
      <c r="BC16" s="248">
        <f>+BB16/BB17</f>
        <v>0</v>
      </c>
      <c r="BD16" s="198" t="s">
        <v>211</v>
      </c>
      <c r="BE16" s="70">
        <v>0</v>
      </c>
      <c r="BF16" s="248">
        <f>+BE16/BE17</f>
        <v>0</v>
      </c>
      <c r="BG16" s="198" t="s">
        <v>211</v>
      </c>
      <c r="BH16" s="70">
        <v>0</v>
      </c>
      <c r="BI16" s="248">
        <f>+BH16/BH17</f>
        <v>0</v>
      </c>
      <c r="BJ16" s="198" t="s">
        <v>211</v>
      </c>
      <c r="BK16" s="70">
        <v>0</v>
      </c>
      <c r="BL16" s="248">
        <f>+BK16/BK17</f>
        <v>0</v>
      </c>
      <c r="BM16" s="198" t="s">
        <v>211</v>
      </c>
      <c r="BN16" s="70">
        <v>0</v>
      </c>
      <c r="BO16" s="248">
        <f>+BN16/BN17</f>
        <v>0</v>
      </c>
      <c r="BP16" s="198" t="s">
        <v>211</v>
      </c>
      <c r="BQ16" s="70">
        <v>0</v>
      </c>
      <c r="BR16" s="248">
        <f>+BQ16/BQ17</f>
        <v>0</v>
      </c>
      <c r="BS16" s="198" t="s">
        <v>211</v>
      </c>
      <c r="BT16" s="70">
        <f t="shared" si="0"/>
        <v>0</v>
      </c>
      <c r="BU16" s="70">
        <v>0</v>
      </c>
      <c r="BV16" s="242">
        <v>0</v>
      </c>
      <c r="BW16" s="198" t="s">
        <v>225</v>
      </c>
      <c r="BX16" s="70">
        <v>0</v>
      </c>
      <c r="BY16" s="242">
        <v>0</v>
      </c>
      <c r="BZ16" s="198" t="s">
        <v>225</v>
      </c>
      <c r="CA16" s="70">
        <v>0</v>
      </c>
      <c r="CB16" s="242">
        <v>0</v>
      </c>
      <c r="CC16" s="198" t="s">
        <v>256</v>
      </c>
      <c r="CD16" s="70">
        <v>0</v>
      </c>
      <c r="CE16" s="242">
        <v>0</v>
      </c>
      <c r="CF16" s="198" t="s">
        <v>268</v>
      </c>
      <c r="CG16" s="70">
        <v>0</v>
      </c>
      <c r="CH16" s="242">
        <v>0</v>
      </c>
      <c r="CI16" s="198" t="s">
        <v>290</v>
      </c>
      <c r="CJ16" s="70">
        <v>0</v>
      </c>
      <c r="CK16" s="242">
        <v>0</v>
      </c>
      <c r="CL16" s="198" t="s">
        <v>225</v>
      </c>
      <c r="CM16" s="70">
        <f t="shared" si="1"/>
        <v>0</v>
      </c>
      <c r="CN16" s="70">
        <v>0</v>
      </c>
      <c r="CO16" s="242">
        <v>0</v>
      </c>
      <c r="CP16" s="232" t="s">
        <v>327</v>
      </c>
      <c r="CQ16" s="70">
        <v>0</v>
      </c>
      <c r="CR16" s="242">
        <v>0</v>
      </c>
      <c r="CS16" s="232" t="s">
        <v>327</v>
      </c>
      <c r="CT16" s="70">
        <v>0</v>
      </c>
      <c r="CU16" s="242">
        <v>0</v>
      </c>
      <c r="CV16" s="232" t="s">
        <v>379</v>
      </c>
      <c r="CW16" s="70">
        <v>0</v>
      </c>
      <c r="CX16" s="242">
        <v>0</v>
      </c>
      <c r="CY16" s="232" t="s">
        <v>379</v>
      </c>
      <c r="CZ16" s="70">
        <v>0</v>
      </c>
      <c r="DA16" s="225">
        <v>0</v>
      </c>
      <c r="DB16" s="232" t="s">
        <v>440</v>
      </c>
      <c r="DC16" s="103">
        <v>0</v>
      </c>
      <c r="DD16" s="225">
        <v>0</v>
      </c>
      <c r="DE16" s="105"/>
      <c r="DF16" s="103">
        <f t="shared" si="2"/>
        <v>0</v>
      </c>
      <c r="DG16" s="225">
        <f t="shared" ref="DG16" si="5">DF16/DF17</f>
        <v>0</v>
      </c>
      <c r="DH16" s="103">
        <v>0</v>
      </c>
      <c r="DI16" s="242">
        <v>0</v>
      </c>
      <c r="DJ16" s="105"/>
      <c r="DK16" s="103">
        <v>0</v>
      </c>
      <c r="DL16" s="242">
        <v>0</v>
      </c>
      <c r="DM16" s="108">
        <v>0</v>
      </c>
      <c r="DN16" s="242">
        <v>0</v>
      </c>
    </row>
    <row r="17" spans="1:118" ht="39" customHeight="1" x14ac:dyDescent="0.2">
      <c r="A17" s="195"/>
      <c r="B17" s="69" t="s">
        <v>28</v>
      </c>
      <c r="C17" s="70">
        <v>119</v>
      </c>
      <c r="D17" s="249"/>
      <c r="E17" s="69" t="s">
        <v>29</v>
      </c>
      <c r="F17" s="70">
        <v>64</v>
      </c>
      <c r="G17" s="249"/>
      <c r="H17" s="69" t="s">
        <v>29</v>
      </c>
      <c r="I17" s="70">
        <v>83</v>
      </c>
      <c r="J17" s="249"/>
      <c r="K17" s="69"/>
      <c r="L17" s="70">
        <v>74</v>
      </c>
      <c r="M17" s="249"/>
      <c r="N17" s="243"/>
      <c r="O17" s="70">
        <v>71</v>
      </c>
      <c r="P17" s="249"/>
      <c r="Q17" s="243"/>
      <c r="R17" s="70">
        <v>51</v>
      </c>
      <c r="S17" s="249"/>
      <c r="T17" s="243"/>
      <c r="U17" s="70">
        <v>37</v>
      </c>
      <c r="V17" s="249"/>
      <c r="W17" s="243"/>
      <c r="X17" s="70">
        <v>43</v>
      </c>
      <c r="Y17" s="249"/>
      <c r="Z17" s="243"/>
      <c r="AA17" s="70">
        <v>29</v>
      </c>
      <c r="AB17" s="249"/>
      <c r="AC17" s="243"/>
      <c r="AD17" s="70">
        <v>47</v>
      </c>
      <c r="AE17" s="249"/>
      <c r="AF17" s="243"/>
      <c r="AG17" s="70">
        <v>50</v>
      </c>
      <c r="AH17" s="249"/>
      <c r="AI17" s="243"/>
      <c r="AJ17" s="70">
        <v>74</v>
      </c>
      <c r="AK17" s="249"/>
      <c r="AL17" s="243"/>
      <c r="AM17" s="70">
        <v>105</v>
      </c>
      <c r="AN17" s="249"/>
      <c r="AO17" s="243"/>
      <c r="AP17" s="70">
        <v>66</v>
      </c>
      <c r="AQ17" s="249"/>
      <c r="AR17" s="243"/>
      <c r="AS17" s="70">
        <v>46</v>
      </c>
      <c r="AT17" s="249"/>
      <c r="AU17" s="243"/>
      <c r="AV17" s="70">
        <v>42</v>
      </c>
      <c r="AW17" s="249"/>
      <c r="AX17" s="243"/>
      <c r="AY17" s="70">
        <v>33</v>
      </c>
      <c r="AZ17" s="249"/>
      <c r="BA17" s="243"/>
      <c r="BB17" s="70">
        <v>33</v>
      </c>
      <c r="BC17" s="249"/>
      <c r="BD17" s="199"/>
      <c r="BE17" s="70">
        <v>39</v>
      </c>
      <c r="BF17" s="249"/>
      <c r="BG17" s="199"/>
      <c r="BH17" s="70">
        <v>38</v>
      </c>
      <c r="BI17" s="249"/>
      <c r="BJ17" s="199"/>
      <c r="BK17" s="70">
        <v>31</v>
      </c>
      <c r="BL17" s="249"/>
      <c r="BM17" s="199"/>
      <c r="BN17" s="70">
        <v>41</v>
      </c>
      <c r="BO17" s="249"/>
      <c r="BP17" s="199"/>
      <c r="BQ17" s="70">
        <v>47</v>
      </c>
      <c r="BR17" s="249"/>
      <c r="BS17" s="199"/>
      <c r="BT17" s="70">
        <f t="shared" si="0"/>
        <v>229</v>
      </c>
      <c r="BU17" s="70">
        <v>47</v>
      </c>
      <c r="BV17" s="243"/>
      <c r="BW17" s="199"/>
      <c r="BX17" s="70">
        <v>52</v>
      </c>
      <c r="BY17" s="243"/>
      <c r="BZ17" s="199"/>
      <c r="CA17" s="70"/>
      <c r="CB17" s="243"/>
      <c r="CC17" s="199"/>
      <c r="CD17" s="70">
        <v>60</v>
      </c>
      <c r="CE17" s="243"/>
      <c r="CF17" s="199"/>
      <c r="CG17" s="70">
        <v>49</v>
      </c>
      <c r="CH17" s="243"/>
      <c r="CI17" s="199"/>
      <c r="CJ17" s="70">
        <v>45</v>
      </c>
      <c r="CK17" s="243"/>
      <c r="CL17" s="199"/>
      <c r="CM17" s="70">
        <f t="shared" si="1"/>
        <v>253</v>
      </c>
      <c r="CN17" s="70">
        <v>14</v>
      </c>
      <c r="CO17" s="243"/>
      <c r="CP17" s="232"/>
      <c r="CQ17" s="70">
        <v>12</v>
      </c>
      <c r="CR17" s="243"/>
      <c r="CS17" s="232"/>
      <c r="CT17" s="70">
        <v>21</v>
      </c>
      <c r="CU17" s="243"/>
      <c r="CV17" s="232"/>
      <c r="CW17" s="70">
        <v>25</v>
      </c>
      <c r="CX17" s="243"/>
      <c r="CY17" s="232"/>
      <c r="CZ17" s="70">
        <v>10</v>
      </c>
      <c r="DA17" s="225"/>
      <c r="DB17" s="232"/>
      <c r="DC17" s="103">
        <v>32</v>
      </c>
      <c r="DD17" s="225"/>
      <c r="DE17" s="105"/>
      <c r="DF17" s="103">
        <f t="shared" si="2"/>
        <v>114</v>
      </c>
      <c r="DG17" s="225"/>
      <c r="DH17" s="103">
        <v>50</v>
      </c>
      <c r="DI17" s="243"/>
      <c r="DJ17" s="105"/>
      <c r="DK17" s="103">
        <v>49</v>
      </c>
      <c r="DL17" s="243"/>
      <c r="DM17" s="108">
        <v>61</v>
      </c>
      <c r="DN17" s="243"/>
    </row>
    <row r="18" spans="1:118" ht="29.25" customHeight="1" x14ac:dyDescent="0.2">
      <c r="A18" s="195" t="s">
        <v>30</v>
      </c>
      <c r="B18" s="69" t="s">
        <v>31</v>
      </c>
      <c r="C18" s="70">
        <v>0</v>
      </c>
      <c r="D18" s="248">
        <f>+C18/C19</f>
        <v>0</v>
      </c>
      <c r="E18" s="71"/>
      <c r="F18" s="70">
        <v>0</v>
      </c>
      <c r="G18" s="248">
        <f>+F18/F19</f>
        <v>0</v>
      </c>
      <c r="H18" s="71"/>
      <c r="I18" s="70">
        <v>0</v>
      </c>
      <c r="J18" s="248">
        <f>+I18/I19</f>
        <v>0</v>
      </c>
      <c r="K18" s="71"/>
      <c r="L18" s="70">
        <v>0</v>
      </c>
      <c r="M18" s="248">
        <f>+L18/L19</f>
        <v>0</v>
      </c>
      <c r="N18" s="242"/>
      <c r="O18" s="70">
        <v>0</v>
      </c>
      <c r="P18" s="248">
        <f>+O18/O19</f>
        <v>0</v>
      </c>
      <c r="Q18" s="242"/>
      <c r="R18" s="70">
        <v>0</v>
      </c>
      <c r="S18" s="248">
        <f>+R18/R19</f>
        <v>0</v>
      </c>
      <c r="T18" s="242"/>
      <c r="U18" s="70">
        <v>0</v>
      </c>
      <c r="V18" s="248">
        <f>+U18/U19</f>
        <v>0</v>
      </c>
      <c r="W18" s="242"/>
      <c r="X18" s="70">
        <v>0</v>
      </c>
      <c r="Y18" s="248">
        <f>+X18/X19</f>
        <v>0</v>
      </c>
      <c r="Z18" s="242"/>
      <c r="AA18" s="70">
        <v>0</v>
      </c>
      <c r="AB18" s="248">
        <f>+AA18/AA19</f>
        <v>0</v>
      </c>
      <c r="AC18" s="242"/>
      <c r="AD18" s="70">
        <v>0</v>
      </c>
      <c r="AE18" s="248">
        <f>+AD18/AD19</f>
        <v>0</v>
      </c>
      <c r="AF18" s="242"/>
      <c r="AG18" s="70">
        <v>0</v>
      </c>
      <c r="AH18" s="248">
        <f>+AG18/AG19</f>
        <v>0</v>
      </c>
      <c r="AI18" s="242"/>
      <c r="AJ18" s="70">
        <v>0</v>
      </c>
      <c r="AK18" s="248">
        <f>+AJ18/AJ19</f>
        <v>0</v>
      </c>
      <c r="AL18" s="242"/>
      <c r="AM18" s="70">
        <v>0</v>
      </c>
      <c r="AN18" s="248">
        <f>+AM18/AM19</f>
        <v>0</v>
      </c>
      <c r="AO18" s="198" t="s">
        <v>195</v>
      </c>
      <c r="AP18" s="70">
        <v>0</v>
      </c>
      <c r="AQ18" s="248">
        <f>+AP18/AP19</f>
        <v>0</v>
      </c>
      <c r="AR18" s="198"/>
      <c r="AS18" s="70">
        <v>0</v>
      </c>
      <c r="AT18" s="248">
        <f>+AS18/AS19</f>
        <v>0</v>
      </c>
      <c r="AU18" s="198"/>
      <c r="AV18" s="70">
        <v>0</v>
      </c>
      <c r="AW18" s="248">
        <f>+AV18/AV19</f>
        <v>0</v>
      </c>
      <c r="AX18" s="198"/>
      <c r="AY18" s="70">
        <v>0</v>
      </c>
      <c r="AZ18" s="248">
        <f>+AY18/AY19</f>
        <v>0</v>
      </c>
      <c r="BA18" s="198"/>
      <c r="BB18" s="70">
        <v>0</v>
      </c>
      <c r="BC18" s="248" t="e">
        <f>+BB18/BB19</f>
        <v>#DIV/0!</v>
      </c>
      <c r="BD18" s="198" t="s">
        <v>212</v>
      </c>
      <c r="BE18" s="70"/>
      <c r="BF18" s="248" t="e">
        <f>+BE18/BE19</f>
        <v>#DIV/0!</v>
      </c>
      <c r="BG18" s="198" t="s">
        <v>212</v>
      </c>
      <c r="BH18" s="70">
        <v>0</v>
      </c>
      <c r="BI18" s="248" t="e">
        <f>+BH18/BH19</f>
        <v>#DIV/0!</v>
      </c>
      <c r="BJ18" s="198" t="s">
        <v>212</v>
      </c>
      <c r="BK18" s="70">
        <v>0</v>
      </c>
      <c r="BL18" s="248">
        <f>+BK18/BK19</f>
        <v>0</v>
      </c>
      <c r="BM18" s="198" t="s">
        <v>212</v>
      </c>
      <c r="BN18" s="70">
        <v>0</v>
      </c>
      <c r="BO18" s="248" t="e">
        <f>+BN18/BN19</f>
        <v>#DIV/0!</v>
      </c>
      <c r="BP18" s="198" t="s">
        <v>212</v>
      </c>
      <c r="BQ18" s="70">
        <v>0</v>
      </c>
      <c r="BR18" s="248" t="e">
        <f>+BQ18/BQ19</f>
        <v>#DIV/0!</v>
      </c>
      <c r="BS18" s="198" t="s">
        <v>212</v>
      </c>
      <c r="BT18" s="70">
        <f t="shared" si="0"/>
        <v>0</v>
      </c>
      <c r="BU18" s="70">
        <v>0</v>
      </c>
      <c r="BV18" s="242">
        <v>0</v>
      </c>
      <c r="BW18" s="73" t="s">
        <v>225</v>
      </c>
      <c r="BX18" s="70">
        <v>0</v>
      </c>
      <c r="BY18" s="242">
        <v>0</v>
      </c>
      <c r="BZ18" s="73" t="s">
        <v>225</v>
      </c>
      <c r="CA18" s="70">
        <v>0</v>
      </c>
      <c r="CB18" s="242">
        <v>0</v>
      </c>
      <c r="CC18" s="73" t="s">
        <v>225</v>
      </c>
      <c r="CD18" s="70">
        <v>0</v>
      </c>
      <c r="CE18" s="242">
        <v>0</v>
      </c>
      <c r="CF18" s="73" t="s">
        <v>225</v>
      </c>
      <c r="CG18" s="70">
        <v>0</v>
      </c>
      <c r="CH18" s="242">
        <v>0</v>
      </c>
      <c r="CI18" s="73" t="s">
        <v>225</v>
      </c>
      <c r="CJ18" s="70">
        <v>0</v>
      </c>
      <c r="CK18" s="242">
        <v>0</v>
      </c>
      <c r="CL18" s="73" t="s">
        <v>225</v>
      </c>
      <c r="CM18" s="70">
        <f t="shared" si="1"/>
        <v>0</v>
      </c>
      <c r="CN18" s="70">
        <v>0</v>
      </c>
      <c r="CO18" s="242">
        <v>0</v>
      </c>
      <c r="CP18" s="232" t="s">
        <v>328</v>
      </c>
      <c r="CQ18" s="70">
        <v>0</v>
      </c>
      <c r="CR18" s="242">
        <v>0</v>
      </c>
      <c r="CS18" s="232" t="s">
        <v>328</v>
      </c>
      <c r="CT18" s="74">
        <v>0</v>
      </c>
      <c r="CU18" s="244">
        <v>0</v>
      </c>
      <c r="CV18" s="232" t="s">
        <v>403</v>
      </c>
      <c r="CW18" s="74">
        <v>0</v>
      </c>
      <c r="CX18" s="244">
        <v>0</v>
      </c>
      <c r="CY18" s="232" t="s">
        <v>403</v>
      </c>
      <c r="CZ18" s="74">
        <v>0</v>
      </c>
      <c r="DA18" s="263">
        <v>0</v>
      </c>
      <c r="DB18" s="232" t="s">
        <v>466</v>
      </c>
      <c r="DC18" s="74">
        <v>0</v>
      </c>
      <c r="DD18" s="263">
        <v>0</v>
      </c>
      <c r="DE18" s="105"/>
      <c r="DF18" s="103">
        <f t="shared" si="2"/>
        <v>0</v>
      </c>
      <c r="DG18" s="225">
        <f t="shared" ref="DG18" si="6">DF18/DF19</f>
        <v>0</v>
      </c>
      <c r="DH18" s="74">
        <v>0</v>
      </c>
      <c r="DI18" s="263">
        <v>0</v>
      </c>
      <c r="DJ18" s="105"/>
      <c r="DK18" s="74">
        <v>0</v>
      </c>
      <c r="DL18" s="263">
        <v>0</v>
      </c>
      <c r="DM18" s="111">
        <v>0</v>
      </c>
      <c r="DN18" s="263">
        <v>0</v>
      </c>
    </row>
    <row r="19" spans="1:118" ht="57" customHeight="1" x14ac:dyDescent="0.2">
      <c r="A19" s="195"/>
      <c r="B19" s="69" t="s">
        <v>32</v>
      </c>
      <c r="C19" s="70">
        <v>50</v>
      </c>
      <c r="D19" s="249"/>
      <c r="E19" s="69" t="s">
        <v>29</v>
      </c>
      <c r="F19" s="70">
        <v>26</v>
      </c>
      <c r="G19" s="249"/>
      <c r="H19" s="69" t="s">
        <v>29</v>
      </c>
      <c r="I19" s="70">
        <v>40</v>
      </c>
      <c r="J19" s="249"/>
      <c r="K19" s="69"/>
      <c r="L19" s="70">
        <v>12</v>
      </c>
      <c r="M19" s="249"/>
      <c r="N19" s="243"/>
      <c r="O19" s="70">
        <v>70</v>
      </c>
      <c r="P19" s="249"/>
      <c r="Q19" s="243"/>
      <c r="R19" s="70">
        <v>20</v>
      </c>
      <c r="S19" s="249"/>
      <c r="T19" s="243"/>
      <c r="U19" s="70">
        <v>29</v>
      </c>
      <c r="V19" s="249"/>
      <c r="W19" s="243"/>
      <c r="X19" s="70">
        <v>13</v>
      </c>
      <c r="Y19" s="249"/>
      <c r="Z19" s="243"/>
      <c r="AA19" s="70">
        <v>11</v>
      </c>
      <c r="AB19" s="249"/>
      <c r="AC19" s="243"/>
      <c r="AD19" s="70">
        <v>23</v>
      </c>
      <c r="AE19" s="249"/>
      <c r="AF19" s="243"/>
      <c r="AG19" s="70">
        <v>16</v>
      </c>
      <c r="AH19" s="249"/>
      <c r="AI19" s="243"/>
      <c r="AJ19" s="70">
        <v>6</v>
      </c>
      <c r="AK19" s="249"/>
      <c r="AL19" s="243"/>
      <c r="AM19" s="70">
        <v>1</v>
      </c>
      <c r="AN19" s="249"/>
      <c r="AO19" s="199"/>
      <c r="AP19" s="70">
        <v>10</v>
      </c>
      <c r="AQ19" s="249"/>
      <c r="AR19" s="199"/>
      <c r="AS19" s="70">
        <v>16</v>
      </c>
      <c r="AT19" s="249"/>
      <c r="AU19" s="199"/>
      <c r="AV19" s="70">
        <v>8</v>
      </c>
      <c r="AW19" s="249"/>
      <c r="AX19" s="199"/>
      <c r="AY19" s="70">
        <v>5</v>
      </c>
      <c r="AZ19" s="249"/>
      <c r="BA19" s="199"/>
      <c r="BB19" s="70">
        <v>0</v>
      </c>
      <c r="BC19" s="249"/>
      <c r="BD19" s="199"/>
      <c r="BE19" s="70"/>
      <c r="BF19" s="249"/>
      <c r="BG19" s="199"/>
      <c r="BH19" s="70">
        <v>0</v>
      </c>
      <c r="BI19" s="249"/>
      <c r="BJ19" s="199"/>
      <c r="BK19" s="70">
        <v>4</v>
      </c>
      <c r="BL19" s="249"/>
      <c r="BM19" s="199"/>
      <c r="BN19" s="70">
        <v>0</v>
      </c>
      <c r="BO19" s="249"/>
      <c r="BP19" s="199"/>
      <c r="BQ19" s="70">
        <v>0</v>
      </c>
      <c r="BR19" s="249"/>
      <c r="BS19" s="199"/>
      <c r="BT19" s="70">
        <f t="shared" si="0"/>
        <v>4</v>
      </c>
      <c r="BU19" s="70">
        <v>0</v>
      </c>
      <c r="BV19" s="243"/>
      <c r="BW19" s="73" t="s">
        <v>226</v>
      </c>
      <c r="BX19" s="70">
        <v>0</v>
      </c>
      <c r="BY19" s="243"/>
      <c r="BZ19" s="73" t="s">
        <v>226</v>
      </c>
      <c r="CA19" s="70">
        <v>0</v>
      </c>
      <c r="CB19" s="243"/>
      <c r="CC19" s="73" t="s">
        <v>226</v>
      </c>
      <c r="CD19" s="70">
        <v>0</v>
      </c>
      <c r="CE19" s="243"/>
      <c r="CF19" s="73" t="s">
        <v>226</v>
      </c>
      <c r="CG19" s="70">
        <v>0</v>
      </c>
      <c r="CH19" s="243"/>
      <c r="CI19" s="73" t="s">
        <v>226</v>
      </c>
      <c r="CJ19" s="70">
        <v>0</v>
      </c>
      <c r="CK19" s="243"/>
      <c r="CL19" s="73" t="s">
        <v>226</v>
      </c>
      <c r="CM19" s="70">
        <f t="shared" si="1"/>
        <v>0</v>
      </c>
      <c r="CN19" s="70">
        <v>13</v>
      </c>
      <c r="CO19" s="243"/>
      <c r="CP19" s="232"/>
      <c r="CQ19" s="70">
        <v>21</v>
      </c>
      <c r="CR19" s="243"/>
      <c r="CS19" s="232"/>
      <c r="CT19" s="74">
        <v>5</v>
      </c>
      <c r="CU19" s="245"/>
      <c r="CV19" s="232"/>
      <c r="CW19" s="74">
        <v>4</v>
      </c>
      <c r="CX19" s="245"/>
      <c r="CY19" s="232"/>
      <c r="CZ19" s="74">
        <v>0</v>
      </c>
      <c r="DA19" s="263"/>
      <c r="DB19" s="232"/>
      <c r="DC19" s="74">
        <v>5</v>
      </c>
      <c r="DD19" s="263"/>
      <c r="DE19" s="105"/>
      <c r="DF19" s="103">
        <f t="shared" si="2"/>
        <v>48</v>
      </c>
      <c r="DG19" s="225"/>
      <c r="DH19" s="74">
        <v>4</v>
      </c>
      <c r="DI19" s="263"/>
      <c r="DJ19" s="105"/>
      <c r="DK19" s="74">
        <v>4</v>
      </c>
      <c r="DL19" s="263"/>
      <c r="DM19" s="111">
        <v>1</v>
      </c>
      <c r="DN19" s="263"/>
    </row>
    <row r="20" spans="1:118" ht="45.75" customHeight="1" x14ac:dyDescent="0.2">
      <c r="A20" s="195" t="s">
        <v>33</v>
      </c>
      <c r="B20" s="69" t="s">
        <v>34</v>
      </c>
      <c r="C20" s="70">
        <v>1267</v>
      </c>
      <c r="D20" s="248">
        <f>+C20/C21</f>
        <v>1</v>
      </c>
      <c r="E20" s="71"/>
      <c r="F20" s="70">
        <f>195+61</f>
        <v>256</v>
      </c>
      <c r="G20" s="248">
        <f>+F20/F21</f>
        <v>1</v>
      </c>
      <c r="H20" s="71"/>
      <c r="I20" s="70">
        <v>201</v>
      </c>
      <c r="J20" s="248">
        <f>+I20/I21</f>
        <v>1</v>
      </c>
      <c r="K20" s="71"/>
      <c r="L20" s="70">
        <v>193</v>
      </c>
      <c r="M20" s="248">
        <f>+L20/L21</f>
        <v>1</v>
      </c>
      <c r="N20" s="242"/>
      <c r="O20" s="70">
        <v>203</v>
      </c>
      <c r="P20" s="248">
        <f>+O20/O21</f>
        <v>1</v>
      </c>
      <c r="Q20" s="242"/>
      <c r="R20" s="70">
        <v>267</v>
      </c>
      <c r="S20" s="248">
        <f>+R20/R21</f>
        <v>1</v>
      </c>
      <c r="T20" s="242"/>
      <c r="U20" s="70">
        <v>191</v>
      </c>
      <c r="V20" s="248">
        <f>+U20/U21</f>
        <v>1</v>
      </c>
      <c r="W20" s="242"/>
      <c r="X20" s="70">
        <v>187</v>
      </c>
      <c r="Y20" s="248">
        <f>+X20/X21</f>
        <v>1</v>
      </c>
      <c r="Z20" s="242"/>
      <c r="AA20" s="70">
        <v>126</v>
      </c>
      <c r="AB20" s="248">
        <f>+AA20/AA21</f>
        <v>1</v>
      </c>
      <c r="AC20" s="242"/>
      <c r="AD20" s="70">
        <v>218</v>
      </c>
      <c r="AE20" s="248">
        <f>+AD20/AD21</f>
        <v>1</v>
      </c>
      <c r="AF20" s="242"/>
      <c r="AG20" s="70">
        <v>175</v>
      </c>
      <c r="AH20" s="248">
        <f>+AG20/AG21</f>
        <v>1</v>
      </c>
      <c r="AI20" s="242"/>
      <c r="AJ20" s="70">
        <v>186</v>
      </c>
      <c r="AK20" s="248">
        <f>+AJ20/AJ21</f>
        <v>1</v>
      </c>
      <c r="AL20" s="242"/>
      <c r="AM20" s="70">
        <v>181</v>
      </c>
      <c r="AN20" s="248">
        <f>+AM20/AM21</f>
        <v>1</v>
      </c>
      <c r="AO20" s="242"/>
      <c r="AP20" s="70">
        <v>165</v>
      </c>
      <c r="AQ20" s="248">
        <f>+AP20/AP21</f>
        <v>1</v>
      </c>
      <c r="AR20" s="242"/>
      <c r="AS20" s="70">
        <v>159</v>
      </c>
      <c r="AT20" s="248">
        <f>+AS20/AS21</f>
        <v>1</v>
      </c>
      <c r="AU20" s="242"/>
      <c r="AV20" s="70">
        <v>151</v>
      </c>
      <c r="AW20" s="248">
        <f>+AV20/AV21</f>
        <v>1</v>
      </c>
      <c r="AX20" s="242"/>
      <c r="AY20" s="70">
        <v>143</v>
      </c>
      <c r="AZ20" s="248">
        <f>+AY20/AY21</f>
        <v>1</v>
      </c>
      <c r="BA20" s="242"/>
      <c r="BB20" s="70">
        <v>151</v>
      </c>
      <c r="BC20" s="248">
        <f>+BB20/BB21</f>
        <v>1</v>
      </c>
      <c r="BD20" s="242"/>
      <c r="BE20" s="70">
        <v>132</v>
      </c>
      <c r="BF20" s="248">
        <f>+BE20/BE21</f>
        <v>1</v>
      </c>
      <c r="BG20" s="242"/>
      <c r="BH20" s="70">
        <v>157</v>
      </c>
      <c r="BI20" s="248">
        <f>+BH20/BH21</f>
        <v>1</v>
      </c>
      <c r="BJ20" s="242"/>
      <c r="BK20" s="70">
        <v>115</v>
      </c>
      <c r="BL20" s="248">
        <f>+BK20/BK21</f>
        <v>1</v>
      </c>
      <c r="BM20" s="242"/>
      <c r="BN20" s="70">
        <v>111</v>
      </c>
      <c r="BO20" s="248">
        <f>+BN20/BN21</f>
        <v>1</v>
      </c>
      <c r="BP20" s="242"/>
      <c r="BQ20" s="70">
        <v>124</v>
      </c>
      <c r="BR20" s="248">
        <f>+BQ20/BQ21</f>
        <v>1</v>
      </c>
      <c r="BS20" s="242"/>
      <c r="BT20" s="70">
        <f t="shared" si="0"/>
        <v>790</v>
      </c>
      <c r="BU20" s="70">
        <v>120</v>
      </c>
      <c r="BV20" s="242">
        <v>0</v>
      </c>
      <c r="BW20" s="198" t="s">
        <v>237</v>
      </c>
      <c r="BX20" s="70">
        <v>158</v>
      </c>
      <c r="BY20" s="242">
        <v>0</v>
      </c>
      <c r="BZ20" s="198" t="s">
        <v>237</v>
      </c>
      <c r="CA20" s="70">
        <v>134</v>
      </c>
      <c r="CB20" s="242">
        <v>0</v>
      </c>
      <c r="CC20" s="198" t="s">
        <v>237</v>
      </c>
      <c r="CD20" s="70">
        <v>140</v>
      </c>
      <c r="CE20" s="242">
        <v>0</v>
      </c>
      <c r="CF20" s="198" t="s">
        <v>269</v>
      </c>
      <c r="CG20" s="70">
        <v>179</v>
      </c>
      <c r="CH20" s="242">
        <v>0</v>
      </c>
      <c r="CI20" s="198" t="s">
        <v>303</v>
      </c>
      <c r="CJ20" s="70">
        <v>147</v>
      </c>
      <c r="CK20" s="242">
        <v>0</v>
      </c>
      <c r="CL20" s="198" t="s">
        <v>303</v>
      </c>
      <c r="CM20" s="70">
        <f t="shared" si="1"/>
        <v>878</v>
      </c>
      <c r="CN20" s="70">
        <v>89</v>
      </c>
      <c r="CO20" s="233">
        <f>CN20/CN21</f>
        <v>1</v>
      </c>
      <c r="CP20" s="232" t="s">
        <v>329</v>
      </c>
      <c r="CQ20" s="70">
        <v>145</v>
      </c>
      <c r="CR20" s="233">
        <f>CQ20/CQ21</f>
        <v>1</v>
      </c>
      <c r="CS20" s="232" t="s">
        <v>329</v>
      </c>
      <c r="CT20" s="70">
        <v>184</v>
      </c>
      <c r="CU20" s="233">
        <f>CT20/CT21</f>
        <v>1</v>
      </c>
      <c r="CV20" s="232" t="s">
        <v>381</v>
      </c>
      <c r="CW20" s="70">
        <v>109</v>
      </c>
      <c r="CX20" s="233">
        <f>CW20/CW21</f>
        <v>1</v>
      </c>
      <c r="CY20" s="232" t="s">
        <v>381</v>
      </c>
      <c r="CZ20" s="70">
        <v>79</v>
      </c>
      <c r="DA20" s="264">
        <f>CZ20/CZ21</f>
        <v>1</v>
      </c>
      <c r="DB20" s="199" t="s">
        <v>443</v>
      </c>
      <c r="DC20" s="103">
        <v>136</v>
      </c>
      <c r="DD20" s="264">
        <f>DC20/DC21</f>
        <v>1</v>
      </c>
      <c r="DE20" s="105"/>
      <c r="DF20" s="103">
        <f t="shared" si="2"/>
        <v>742</v>
      </c>
      <c r="DG20" s="225">
        <f t="shared" ref="DG20" si="7">DF20/DF21</f>
        <v>1</v>
      </c>
      <c r="DH20" s="103">
        <v>166</v>
      </c>
      <c r="DI20" s="264">
        <f>DH20/DH21</f>
        <v>1</v>
      </c>
      <c r="DJ20" s="105"/>
      <c r="DK20" s="103">
        <v>184</v>
      </c>
      <c r="DL20" s="264">
        <f>DK20/DK21</f>
        <v>1</v>
      </c>
      <c r="DM20" s="108">
        <v>168</v>
      </c>
      <c r="DN20" s="264">
        <f>DM20/DM21</f>
        <v>1</v>
      </c>
    </row>
    <row r="21" spans="1:118" ht="41.25" customHeight="1" x14ac:dyDescent="0.2">
      <c r="A21" s="195"/>
      <c r="B21" s="69" t="s">
        <v>9</v>
      </c>
      <c r="C21" s="70">
        <v>1267</v>
      </c>
      <c r="D21" s="249"/>
      <c r="E21" s="71"/>
      <c r="F21" s="70">
        <v>256</v>
      </c>
      <c r="G21" s="249"/>
      <c r="H21" s="71"/>
      <c r="I21" s="70">
        <v>201</v>
      </c>
      <c r="J21" s="249"/>
      <c r="K21" s="71"/>
      <c r="L21" s="70">
        <v>193</v>
      </c>
      <c r="M21" s="249"/>
      <c r="N21" s="243"/>
      <c r="O21" s="70">
        <v>203</v>
      </c>
      <c r="P21" s="249"/>
      <c r="Q21" s="243"/>
      <c r="R21" s="70">
        <v>267</v>
      </c>
      <c r="S21" s="249"/>
      <c r="T21" s="243"/>
      <c r="U21" s="70">
        <v>191</v>
      </c>
      <c r="V21" s="249"/>
      <c r="W21" s="243"/>
      <c r="X21" s="70">
        <v>187</v>
      </c>
      <c r="Y21" s="249"/>
      <c r="Z21" s="243"/>
      <c r="AA21" s="70">
        <v>126</v>
      </c>
      <c r="AB21" s="249"/>
      <c r="AC21" s="243"/>
      <c r="AD21" s="70">
        <v>218</v>
      </c>
      <c r="AE21" s="249"/>
      <c r="AF21" s="243"/>
      <c r="AG21" s="70">
        <v>175</v>
      </c>
      <c r="AH21" s="249"/>
      <c r="AI21" s="243"/>
      <c r="AJ21" s="70">
        <v>186</v>
      </c>
      <c r="AK21" s="249"/>
      <c r="AL21" s="243"/>
      <c r="AM21" s="70">
        <v>181</v>
      </c>
      <c r="AN21" s="249"/>
      <c r="AO21" s="243"/>
      <c r="AP21" s="70">
        <v>165</v>
      </c>
      <c r="AQ21" s="249"/>
      <c r="AR21" s="243"/>
      <c r="AS21" s="70">
        <v>159</v>
      </c>
      <c r="AT21" s="249"/>
      <c r="AU21" s="243"/>
      <c r="AV21" s="70">
        <v>151</v>
      </c>
      <c r="AW21" s="249"/>
      <c r="AX21" s="243"/>
      <c r="AY21" s="70">
        <v>143</v>
      </c>
      <c r="AZ21" s="249"/>
      <c r="BA21" s="243"/>
      <c r="BB21" s="70">
        <v>151</v>
      </c>
      <c r="BC21" s="249"/>
      <c r="BD21" s="243"/>
      <c r="BE21" s="70">
        <v>132</v>
      </c>
      <c r="BF21" s="249"/>
      <c r="BG21" s="243"/>
      <c r="BH21" s="70">
        <v>157</v>
      </c>
      <c r="BI21" s="249"/>
      <c r="BJ21" s="243"/>
      <c r="BK21" s="70">
        <v>115</v>
      </c>
      <c r="BL21" s="249"/>
      <c r="BM21" s="243"/>
      <c r="BN21" s="70">
        <v>111</v>
      </c>
      <c r="BO21" s="249"/>
      <c r="BP21" s="243"/>
      <c r="BQ21" s="70">
        <v>124</v>
      </c>
      <c r="BR21" s="249"/>
      <c r="BS21" s="243"/>
      <c r="BT21" s="70">
        <f t="shared" si="0"/>
        <v>790</v>
      </c>
      <c r="BU21" s="70">
        <v>120</v>
      </c>
      <c r="BV21" s="243"/>
      <c r="BW21" s="199"/>
      <c r="BX21" s="70">
        <v>158</v>
      </c>
      <c r="BY21" s="243"/>
      <c r="BZ21" s="199"/>
      <c r="CA21" s="70">
        <v>134</v>
      </c>
      <c r="CB21" s="243"/>
      <c r="CC21" s="199"/>
      <c r="CD21" s="70">
        <v>140</v>
      </c>
      <c r="CE21" s="243"/>
      <c r="CF21" s="199"/>
      <c r="CG21" s="70">
        <v>179</v>
      </c>
      <c r="CH21" s="243"/>
      <c r="CI21" s="199"/>
      <c r="CJ21" s="70">
        <v>147</v>
      </c>
      <c r="CK21" s="243"/>
      <c r="CL21" s="199"/>
      <c r="CM21" s="70">
        <f t="shared" si="1"/>
        <v>878</v>
      </c>
      <c r="CN21" s="70">
        <v>89</v>
      </c>
      <c r="CO21" s="234"/>
      <c r="CP21" s="232"/>
      <c r="CQ21" s="70">
        <v>145</v>
      </c>
      <c r="CR21" s="234"/>
      <c r="CS21" s="232"/>
      <c r="CT21" s="70">
        <v>184</v>
      </c>
      <c r="CU21" s="234"/>
      <c r="CV21" s="232"/>
      <c r="CW21" s="70">
        <v>109</v>
      </c>
      <c r="CX21" s="234"/>
      <c r="CY21" s="232"/>
      <c r="CZ21" s="70">
        <v>79</v>
      </c>
      <c r="DA21" s="234"/>
      <c r="DB21" s="232"/>
      <c r="DC21" s="103">
        <v>136</v>
      </c>
      <c r="DD21" s="234"/>
      <c r="DE21" s="105"/>
      <c r="DF21" s="103">
        <f t="shared" si="2"/>
        <v>742</v>
      </c>
      <c r="DG21" s="225"/>
      <c r="DH21" s="103">
        <v>166</v>
      </c>
      <c r="DI21" s="234"/>
      <c r="DJ21" s="105"/>
      <c r="DK21" s="103">
        <v>184</v>
      </c>
      <c r="DL21" s="234"/>
      <c r="DM21" s="108">
        <v>168</v>
      </c>
      <c r="DN21" s="234"/>
    </row>
    <row r="22" spans="1:118" ht="64.5" customHeight="1" x14ac:dyDescent="0.2">
      <c r="A22" s="195" t="s">
        <v>35</v>
      </c>
      <c r="B22" s="69" t="s">
        <v>36</v>
      </c>
      <c r="C22" s="70">
        <v>0</v>
      </c>
      <c r="D22" s="248">
        <v>0</v>
      </c>
      <c r="E22" s="71"/>
      <c r="F22" s="70">
        <v>0</v>
      </c>
      <c r="G22" s="248">
        <v>0</v>
      </c>
      <c r="H22" s="71"/>
      <c r="I22" s="70">
        <v>0</v>
      </c>
      <c r="J22" s="248">
        <v>0</v>
      </c>
      <c r="K22" s="71"/>
      <c r="L22" s="70">
        <v>0</v>
      </c>
      <c r="M22" s="248">
        <v>0</v>
      </c>
      <c r="N22" s="242"/>
      <c r="O22" s="70">
        <v>0</v>
      </c>
      <c r="P22" s="248">
        <v>0</v>
      </c>
      <c r="Q22" s="242"/>
      <c r="R22" s="70">
        <v>0</v>
      </c>
      <c r="S22" s="248">
        <v>0</v>
      </c>
      <c r="T22" s="242"/>
      <c r="U22" s="70">
        <v>0</v>
      </c>
      <c r="V22" s="248">
        <v>0</v>
      </c>
      <c r="W22" s="242"/>
      <c r="X22" s="70">
        <v>0</v>
      </c>
      <c r="Y22" s="248">
        <v>0</v>
      </c>
      <c r="Z22" s="242"/>
      <c r="AA22" s="70">
        <v>0</v>
      </c>
      <c r="AB22" s="248">
        <v>0</v>
      </c>
      <c r="AC22" s="242"/>
      <c r="AD22" s="70">
        <v>0</v>
      </c>
      <c r="AE22" s="248">
        <v>0</v>
      </c>
      <c r="AF22" s="242"/>
      <c r="AG22" s="70">
        <v>0</v>
      </c>
      <c r="AH22" s="248">
        <v>0</v>
      </c>
      <c r="AI22" s="242"/>
      <c r="AJ22" s="70">
        <v>0</v>
      </c>
      <c r="AK22" s="248">
        <v>0</v>
      </c>
      <c r="AL22" s="242"/>
      <c r="AM22" s="70">
        <v>0</v>
      </c>
      <c r="AN22" s="248">
        <v>0</v>
      </c>
      <c r="AO22" s="242"/>
      <c r="AP22" s="70">
        <v>0</v>
      </c>
      <c r="AQ22" s="248">
        <v>0</v>
      </c>
      <c r="AR22" s="242"/>
      <c r="AS22" s="70">
        <v>1</v>
      </c>
      <c r="AT22" s="248">
        <v>0</v>
      </c>
      <c r="AU22" s="242"/>
      <c r="AV22" s="70">
        <v>0</v>
      </c>
      <c r="AW22" s="248">
        <v>0</v>
      </c>
      <c r="AX22" s="242"/>
      <c r="AY22" s="70">
        <v>0</v>
      </c>
      <c r="AZ22" s="248">
        <v>0</v>
      </c>
      <c r="BA22" s="242"/>
      <c r="BB22" s="70">
        <v>0</v>
      </c>
      <c r="BC22" s="248">
        <v>0</v>
      </c>
      <c r="BD22" s="198" t="s">
        <v>213</v>
      </c>
      <c r="BE22" s="70">
        <v>0</v>
      </c>
      <c r="BF22" s="248">
        <v>0</v>
      </c>
      <c r="BG22" s="198" t="s">
        <v>213</v>
      </c>
      <c r="BH22" s="70">
        <v>0</v>
      </c>
      <c r="BI22" s="248">
        <v>0</v>
      </c>
      <c r="BJ22" s="198" t="s">
        <v>213</v>
      </c>
      <c r="BK22" s="70">
        <v>0</v>
      </c>
      <c r="BL22" s="248">
        <v>0</v>
      </c>
      <c r="BM22" s="198" t="s">
        <v>213</v>
      </c>
      <c r="BN22" s="70">
        <v>0</v>
      </c>
      <c r="BO22" s="248">
        <v>0</v>
      </c>
      <c r="BP22" s="198" t="s">
        <v>213</v>
      </c>
      <c r="BQ22" s="70">
        <v>0</v>
      </c>
      <c r="BR22" s="248">
        <v>0</v>
      </c>
      <c r="BS22" s="198" t="s">
        <v>213</v>
      </c>
      <c r="BT22" s="70">
        <f t="shared" si="0"/>
        <v>0</v>
      </c>
      <c r="BU22" s="70">
        <v>0</v>
      </c>
      <c r="BV22" s="242">
        <v>0</v>
      </c>
      <c r="BW22" s="73" t="s">
        <v>226</v>
      </c>
      <c r="BX22" s="70">
        <v>0</v>
      </c>
      <c r="BY22" s="242">
        <v>0</v>
      </c>
      <c r="BZ22" s="73" t="s">
        <v>226</v>
      </c>
      <c r="CA22" s="70">
        <v>0</v>
      </c>
      <c r="CB22" s="242">
        <v>0</v>
      </c>
      <c r="CC22" s="73" t="s">
        <v>226</v>
      </c>
      <c r="CD22" s="70">
        <v>0</v>
      </c>
      <c r="CE22" s="242">
        <v>0</v>
      </c>
      <c r="CF22" s="73" t="s">
        <v>270</v>
      </c>
      <c r="CG22" s="70">
        <v>0</v>
      </c>
      <c r="CH22" s="242">
        <v>0</v>
      </c>
      <c r="CI22" s="73" t="s">
        <v>270</v>
      </c>
      <c r="CJ22" s="70">
        <v>0</v>
      </c>
      <c r="CK22" s="242">
        <v>0</v>
      </c>
      <c r="CL22" s="73" t="s">
        <v>270</v>
      </c>
      <c r="CM22" s="70">
        <f t="shared" si="1"/>
        <v>0</v>
      </c>
      <c r="CN22" s="70">
        <v>0</v>
      </c>
      <c r="CO22" s="233">
        <v>0</v>
      </c>
      <c r="CP22" s="232" t="s">
        <v>330</v>
      </c>
      <c r="CQ22" s="70">
        <v>0</v>
      </c>
      <c r="CR22" s="233">
        <v>0</v>
      </c>
      <c r="CS22" s="232" t="s">
        <v>330</v>
      </c>
      <c r="CT22" s="70">
        <v>0</v>
      </c>
      <c r="CU22" s="233">
        <v>0</v>
      </c>
      <c r="CV22" s="232" t="s">
        <v>382</v>
      </c>
      <c r="CW22" s="70">
        <v>0</v>
      </c>
      <c r="CX22" s="233">
        <v>0</v>
      </c>
      <c r="CY22" s="232" t="s">
        <v>382</v>
      </c>
      <c r="CZ22" s="70">
        <v>0</v>
      </c>
      <c r="DA22" s="233">
        <v>0</v>
      </c>
      <c r="DB22" s="232" t="s">
        <v>444</v>
      </c>
      <c r="DC22" s="101">
        <v>0</v>
      </c>
      <c r="DD22" s="233">
        <v>0</v>
      </c>
      <c r="DF22" s="101">
        <f t="shared" si="2"/>
        <v>0</v>
      </c>
      <c r="DG22" s="268" t="e">
        <f t="shared" ref="DG22" si="8">DF22/DF23</f>
        <v>#DIV/0!</v>
      </c>
      <c r="DH22" s="101">
        <v>0</v>
      </c>
      <c r="DI22" s="233">
        <v>0</v>
      </c>
      <c r="DK22" s="101">
        <v>0</v>
      </c>
      <c r="DL22" s="233">
        <v>0</v>
      </c>
      <c r="DM22" s="110">
        <v>0</v>
      </c>
      <c r="DN22" s="233">
        <v>0</v>
      </c>
    </row>
    <row r="23" spans="1:118" ht="38.25" customHeight="1" x14ac:dyDescent="0.2">
      <c r="A23" s="195"/>
      <c r="B23" s="69" t="s">
        <v>37</v>
      </c>
      <c r="C23" s="70">
        <v>0</v>
      </c>
      <c r="D23" s="249"/>
      <c r="E23" s="71"/>
      <c r="F23" s="70">
        <v>0</v>
      </c>
      <c r="G23" s="249"/>
      <c r="H23" s="71"/>
      <c r="I23" s="70">
        <v>0</v>
      </c>
      <c r="J23" s="249"/>
      <c r="K23" s="71"/>
      <c r="L23" s="70">
        <v>0</v>
      </c>
      <c r="M23" s="249"/>
      <c r="N23" s="243"/>
      <c r="O23" s="70">
        <v>0</v>
      </c>
      <c r="P23" s="249"/>
      <c r="Q23" s="243"/>
      <c r="R23" s="70">
        <v>0</v>
      </c>
      <c r="S23" s="249"/>
      <c r="T23" s="243"/>
      <c r="U23" s="70">
        <v>0</v>
      </c>
      <c r="V23" s="249"/>
      <c r="W23" s="243"/>
      <c r="X23" s="70">
        <v>0</v>
      </c>
      <c r="Y23" s="249"/>
      <c r="Z23" s="243"/>
      <c r="AA23" s="70">
        <v>0</v>
      </c>
      <c r="AB23" s="249"/>
      <c r="AC23" s="243"/>
      <c r="AD23" s="70">
        <v>0</v>
      </c>
      <c r="AE23" s="249"/>
      <c r="AF23" s="243"/>
      <c r="AG23" s="70">
        <v>0</v>
      </c>
      <c r="AH23" s="249"/>
      <c r="AI23" s="243"/>
      <c r="AJ23" s="70">
        <v>0</v>
      </c>
      <c r="AK23" s="249"/>
      <c r="AL23" s="243"/>
      <c r="AM23" s="70">
        <v>0</v>
      </c>
      <c r="AN23" s="249"/>
      <c r="AO23" s="243"/>
      <c r="AP23" s="70">
        <v>0</v>
      </c>
      <c r="AQ23" s="249"/>
      <c r="AR23" s="243"/>
      <c r="AS23" s="70">
        <v>1</v>
      </c>
      <c r="AT23" s="249"/>
      <c r="AU23" s="243"/>
      <c r="AV23" s="70">
        <v>0</v>
      </c>
      <c r="AW23" s="249"/>
      <c r="AX23" s="243"/>
      <c r="AY23" s="70">
        <v>0</v>
      </c>
      <c r="AZ23" s="249"/>
      <c r="BA23" s="243"/>
      <c r="BB23" s="70">
        <v>0</v>
      </c>
      <c r="BC23" s="249"/>
      <c r="BD23" s="199"/>
      <c r="BE23" s="70">
        <v>0</v>
      </c>
      <c r="BF23" s="249"/>
      <c r="BG23" s="199"/>
      <c r="BH23" s="70">
        <v>0</v>
      </c>
      <c r="BI23" s="249"/>
      <c r="BJ23" s="199"/>
      <c r="BK23" s="70">
        <v>0</v>
      </c>
      <c r="BL23" s="249"/>
      <c r="BM23" s="199"/>
      <c r="BN23" s="70">
        <v>0</v>
      </c>
      <c r="BO23" s="249"/>
      <c r="BP23" s="199"/>
      <c r="BQ23" s="70">
        <v>0</v>
      </c>
      <c r="BR23" s="249"/>
      <c r="BS23" s="199"/>
      <c r="BT23" s="70">
        <f t="shared" si="0"/>
        <v>0</v>
      </c>
      <c r="BU23" s="70">
        <v>0</v>
      </c>
      <c r="BV23" s="243"/>
      <c r="BW23" s="73" t="s">
        <v>226</v>
      </c>
      <c r="BX23" s="70">
        <v>0</v>
      </c>
      <c r="BY23" s="243"/>
      <c r="BZ23" s="73" t="s">
        <v>226</v>
      </c>
      <c r="CA23" s="70">
        <v>0</v>
      </c>
      <c r="CB23" s="243"/>
      <c r="CC23" s="73" t="s">
        <v>226</v>
      </c>
      <c r="CD23" s="70">
        <v>0</v>
      </c>
      <c r="CE23" s="243"/>
      <c r="CF23" s="73" t="s">
        <v>270</v>
      </c>
      <c r="CG23" s="70">
        <v>0</v>
      </c>
      <c r="CH23" s="243"/>
      <c r="CI23" s="73" t="s">
        <v>270</v>
      </c>
      <c r="CJ23" s="70">
        <v>0</v>
      </c>
      <c r="CK23" s="243"/>
      <c r="CL23" s="73" t="s">
        <v>270</v>
      </c>
      <c r="CM23" s="70">
        <f t="shared" si="1"/>
        <v>0</v>
      </c>
      <c r="CN23" s="70">
        <v>0</v>
      </c>
      <c r="CO23" s="234"/>
      <c r="CP23" s="232"/>
      <c r="CQ23" s="70">
        <v>0</v>
      </c>
      <c r="CR23" s="234"/>
      <c r="CS23" s="232"/>
      <c r="CT23" s="70">
        <v>0</v>
      </c>
      <c r="CU23" s="234"/>
      <c r="CV23" s="232"/>
      <c r="CW23" s="70">
        <v>0</v>
      </c>
      <c r="CX23" s="234"/>
      <c r="CY23" s="232"/>
      <c r="CZ23" s="70">
        <v>0</v>
      </c>
      <c r="DA23" s="234"/>
      <c r="DB23" s="232"/>
      <c r="DC23" s="70">
        <v>0</v>
      </c>
      <c r="DD23" s="234"/>
      <c r="DF23" s="70">
        <f t="shared" si="2"/>
        <v>0</v>
      </c>
      <c r="DG23" s="268"/>
      <c r="DH23" s="70">
        <v>0</v>
      </c>
      <c r="DI23" s="234"/>
      <c r="DK23" s="103">
        <v>0</v>
      </c>
      <c r="DL23" s="234"/>
      <c r="DM23" s="108">
        <v>0</v>
      </c>
      <c r="DN23" s="234"/>
    </row>
    <row r="24" spans="1:118" ht="54.75" hidden="1" customHeight="1" x14ac:dyDescent="0.2">
      <c r="A24" s="195" t="s">
        <v>38</v>
      </c>
      <c r="B24" s="69" t="s">
        <v>39</v>
      </c>
      <c r="C24" s="70">
        <v>1267</v>
      </c>
      <c r="D24" s="248">
        <f>+C24/C25</f>
        <v>0.68783930510314872</v>
      </c>
      <c r="E24" s="71"/>
      <c r="F24" s="70">
        <v>0</v>
      </c>
      <c r="G24" s="248" t="s">
        <v>47</v>
      </c>
      <c r="H24" s="71"/>
      <c r="I24" s="70">
        <v>0</v>
      </c>
      <c r="J24" s="248" t="s">
        <v>47</v>
      </c>
      <c r="K24" s="71"/>
      <c r="L24" s="70">
        <v>0</v>
      </c>
      <c r="M24" s="248" t="s">
        <v>47</v>
      </c>
      <c r="N24" s="242"/>
      <c r="O24" s="70">
        <v>0</v>
      </c>
      <c r="P24" s="248" t="s">
        <v>47</v>
      </c>
      <c r="Q24" s="242"/>
      <c r="R24" s="70">
        <v>0</v>
      </c>
      <c r="S24" s="248" t="s">
        <v>47</v>
      </c>
      <c r="T24" s="242"/>
      <c r="U24" s="70">
        <v>0</v>
      </c>
      <c r="V24" s="248" t="s">
        <v>47</v>
      </c>
      <c r="W24" s="242"/>
      <c r="X24" s="70">
        <v>0</v>
      </c>
      <c r="Y24" s="248" t="s">
        <v>47</v>
      </c>
      <c r="Z24" s="242"/>
      <c r="AA24" s="70">
        <v>0</v>
      </c>
      <c r="AB24" s="248" t="s">
        <v>47</v>
      </c>
      <c r="AC24" s="242"/>
      <c r="AD24" s="70">
        <v>0</v>
      </c>
      <c r="AE24" s="248" t="s">
        <v>47</v>
      </c>
      <c r="AF24" s="242"/>
      <c r="AG24" s="70">
        <v>0</v>
      </c>
      <c r="AH24" s="248" t="s">
        <v>47</v>
      </c>
      <c r="AI24" s="242"/>
      <c r="AJ24" s="70">
        <v>0</v>
      </c>
      <c r="AK24" s="248" t="s">
        <v>47</v>
      </c>
      <c r="AL24" s="242"/>
      <c r="AM24" s="70" t="s">
        <v>47</v>
      </c>
      <c r="AN24" s="248" t="s">
        <v>47</v>
      </c>
      <c r="AO24" s="242"/>
      <c r="AP24" s="70" t="s">
        <v>47</v>
      </c>
      <c r="AQ24" s="248" t="s">
        <v>47</v>
      </c>
      <c r="AR24" s="242"/>
      <c r="AS24" s="70" t="s">
        <v>47</v>
      </c>
      <c r="AT24" s="248" t="s">
        <v>47</v>
      </c>
      <c r="AU24" s="242"/>
      <c r="AV24" s="70" t="s">
        <v>47</v>
      </c>
      <c r="AW24" s="248" t="s">
        <v>47</v>
      </c>
      <c r="AX24" s="242"/>
      <c r="AY24" s="70" t="s">
        <v>47</v>
      </c>
      <c r="AZ24" s="248" t="s">
        <v>47</v>
      </c>
      <c r="BA24" s="242"/>
      <c r="BB24" s="70" t="s">
        <v>47</v>
      </c>
      <c r="BC24" s="248" t="s">
        <v>47</v>
      </c>
      <c r="BD24" s="242"/>
      <c r="BE24" s="70"/>
      <c r="BF24" s="248" t="s">
        <v>47</v>
      </c>
      <c r="BG24" s="242"/>
      <c r="BH24" s="70"/>
      <c r="BI24" s="248" t="s">
        <v>47</v>
      </c>
      <c r="BJ24" s="242"/>
      <c r="BK24" s="70"/>
      <c r="BL24" s="248" t="s">
        <v>47</v>
      </c>
      <c r="BM24" s="242"/>
      <c r="BN24" s="70"/>
      <c r="BO24" s="248" t="s">
        <v>47</v>
      </c>
      <c r="BP24" s="242"/>
      <c r="BQ24" s="70"/>
      <c r="BR24" s="248" t="s">
        <v>47</v>
      </c>
      <c r="BS24" s="242"/>
      <c r="BT24" s="70" t="e">
        <f t="shared" si="0"/>
        <v>#VALUE!</v>
      </c>
      <c r="BU24" s="70"/>
      <c r="BV24" s="242"/>
      <c r="BW24" s="72"/>
      <c r="BX24" s="70"/>
      <c r="BY24" s="242"/>
      <c r="BZ24" s="72"/>
      <c r="CA24" s="70"/>
      <c r="CB24" s="242"/>
      <c r="CC24" s="72"/>
      <c r="CD24" s="70"/>
      <c r="CE24" s="242"/>
      <c r="CF24" s="72"/>
      <c r="CG24" s="70"/>
      <c r="CH24" s="242"/>
      <c r="CI24" s="72"/>
      <c r="CJ24" s="70"/>
      <c r="CK24" s="242"/>
      <c r="CL24" s="72"/>
      <c r="CM24" s="70">
        <f t="shared" si="1"/>
        <v>0</v>
      </c>
      <c r="DF24" s="70">
        <f t="shared" si="2"/>
        <v>0</v>
      </c>
      <c r="DG24" s="267" t="e">
        <f t="shared" ref="DG24" si="9">DF24/DF25</f>
        <v>#DIV/0!</v>
      </c>
    </row>
    <row r="25" spans="1:118" ht="51" hidden="1" customHeight="1" x14ac:dyDescent="0.2">
      <c r="A25" s="195"/>
      <c r="B25" s="69" t="s">
        <v>40</v>
      </c>
      <c r="C25" s="70">
        <f>1267+575</f>
        <v>1842</v>
      </c>
      <c r="D25" s="249"/>
      <c r="E25" s="69" t="s">
        <v>41</v>
      </c>
      <c r="F25" s="70">
        <v>0</v>
      </c>
      <c r="G25" s="249"/>
      <c r="H25" s="69" t="s">
        <v>41</v>
      </c>
      <c r="I25" s="70">
        <v>0</v>
      </c>
      <c r="J25" s="249"/>
      <c r="K25" s="69"/>
      <c r="L25" s="70">
        <v>0</v>
      </c>
      <c r="M25" s="249"/>
      <c r="N25" s="243"/>
      <c r="O25" s="70">
        <v>0</v>
      </c>
      <c r="P25" s="249"/>
      <c r="Q25" s="243"/>
      <c r="R25" s="70">
        <v>0</v>
      </c>
      <c r="S25" s="249"/>
      <c r="T25" s="243"/>
      <c r="U25" s="70">
        <v>0</v>
      </c>
      <c r="V25" s="249"/>
      <c r="W25" s="243"/>
      <c r="X25" s="70">
        <v>0</v>
      </c>
      <c r="Y25" s="249"/>
      <c r="Z25" s="243"/>
      <c r="AA25" s="70">
        <v>0</v>
      </c>
      <c r="AB25" s="249"/>
      <c r="AC25" s="243"/>
      <c r="AD25" s="70">
        <v>0</v>
      </c>
      <c r="AE25" s="249"/>
      <c r="AF25" s="243"/>
      <c r="AG25" s="70">
        <v>0</v>
      </c>
      <c r="AH25" s="249"/>
      <c r="AI25" s="243"/>
      <c r="AJ25" s="70">
        <v>0</v>
      </c>
      <c r="AK25" s="249"/>
      <c r="AL25" s="243"/>
      <c r="AM25" s="70" t="s">
        <v>47</v>
      </c>
      <c r="AN25" s="249"/>
      <c r="AO25" s="243"/>
      <c r="AP25" s="70" t="s">
        <v>47</v>
      </c>
      <c r="AQ25" s="249"/>
      <c r="AR25" s="243"/>
      <c r="AS25" s="70" t="s">
        <v>47</v>
      </c>
      <c r="AT25" s="249"/>
      <c r="AU25" s="243"/>
      <c r="AV25" s="70" t="s">
        <v>47</v>
      </c>
      <c r="AW25" s="249"/>
      <c r="AX25" s="243"/>
      <c r="AY25" s="70" t="s">
        <v>47</v>
      </c>
      <c r="AZ25" s="249"/>
      <c r="BA25" s="243"/>
      <c r="BB25" s="70" t="s">
        <v>47</v>
      </c>
      <c r="BC25" s="249"/>
      <c r="BD25" s="243"/>
      <c r="BE25" s="70"/>
      <c r="BF25" s="249"/>
      <c r="BG25" s="243"/>
      <c r="BH25" s="70"/>
      <c r="BI25" s="249"/>
      <c r="BJ25" s="243"/>
      <c r="BK25" s="70"/>
      <c r="BL25" s="249"/>
      <c r="BM25" s="243"/>
      <c r="BN25" s="70"/>
      <c r="BO25" s="249"/>
      <c r="BP25" s="243"/>
      <c r="BQ25" s="70"/>
      <c r="BR25" s="249"/>
      <c r="BS25" s="243"/>
      <c r="BT25" s="70" t="e">
        <f t="shared" si="0"/>
        <v>#VALUE!</v>
      </c>
      <c r="BU25" s="70"/>
      <c r="BV25" s="243"/>
      <c r="BW25" s="72"/>
      <c r="BX25" s="70"/>
      <c r="BY25" s="243"/>
      <c r="BZ25" s="72"/>
      <c r="CA25" s="70"/>
      <c r="CB25" s="243"/>
      <c r="CC25" s="72"/>
      <c r="CD25" s="70"/>
      <c r="CE25" s="243"/>
      <c r="CF25" s="72"/>
      <c r="CG25" s="70"/>
      <c r="CH25" s="243"/>
      <c r="CI25" s="72"/>
      <c r="CJ25" s="70"/>
      <c r="CK25" s="243"/>
      <c r="CL25" s="72"/>
      <c r="CM25" s="70">
        <f t="shared" si="1"/>
        <v>0</v>
      </c>
      <c r="DF25" s="70">
        <f t="shared" si="2"/>
        <v>0</v>
      </c>
      <c r="DG25" s="268"/>
    </row>
    <row r="26" spans="1:118" ht="42.75" customHeight="1" x14ac:dyDescent="0.2">
      <c r="A26" s="195" t="s">
        <v>42</v>
      </c>
      <c r="B26" s="69" t="s">
        <v>43</v>
      </c>
      <c r="C26" s="70">
        <v>2</v>
      </c>
      <c r="D26" s="248">
        <f>+C26/C27</f>
        <v>1</v>
      </c>
      <c r="E26" s="71"/>
      <c r="F26" s="70">
        <v>0</v>
      </c>
      <c r="G26" s="248">
        <f>+F26/F27</f>
        <v>0</v>
      </c>
      <c r="H26" s="71"/>
      <c r="I26" s="70">
        <v>0</v>
      </c>
      <c r="J26" s="248">
        <v>0</v>
      </c>
      <c r="K26" s="71"/>
      <c r="L26" s="70">
        <v>0</v>
      </c>
      <c r="M26" s="248">
        <v>0</v>
      </c>
      <c r="N26" s="242"/>
      <c r="O26" s="70">
        <v>1</v>
      </c>
      <c r="P26" s="248">
        <f>O26/O27</f>
        <v>1</v>
      </c>
      <c r="Q26" s="242"/>
      <c r="R26" s="70">
        <v>1</v>
      </c>
      <c r="S26" s="248">
        <f>R26/R27</f>
        <v>1</v>
      </c>
      <c r="T26" s="242"/>
      <c r="U26" s="70">
        <v>1</v>
      </c>
      <c r="V26" s="248">
        <f>U26/U27</f>
        <v>1</v>
      </c>
      <c r="W26" s="242"/>
      <c r="X26" s="70">
        <v>0</v>
      </c>
      <c r="Y26" s="248" t="e">
        <f>X26/X27</f>
        <v>#DIV/0!</v>
      </c>
      <c r="Z26" s="198" t="s">
        <v>181</v>
      </c>
      <c r="AA26" s="70">
        <v>1</v>
      </c>
      <c r="AB26" s="248">
        <f>AA26/AA27</f>
        <v>1</v>
      </c>
      <c r="AC26" s="198"/>
      <c r="AD26" s="70">
        <v>0</v>
      </c>
      <c r="AE26" s="248" t="e">
        <f>AD26/AD27</f>
        <v>#DIV/0!</v>
      </c>
      <c r="AF26" s="198" t="s">
        <v>181</v>
      </c>
      <c r="AG26" s="70">
        <v>0</v>
      </c>
      <c r="AH26" s="248" t="e">
        <f>AG26/AG27</f>
        <v>#DIV/0!</v>
      </c>
      <c r="AI26" s="198" t="s">
        <v>181</v>
      </c>
      <c r="AJ26" s="70">
        <v>0</v>
      </c>
      <c r="AK26" s="248" t="e">
        <f>AJ26/AJ27</f>
        <v>#DIV/0!</v>
      </c>
      <c r="AL26" s="198" t="s">
        <v>181</v>
      </c>
      <c r="AM26" s="70">
        <v>0</v>
      </c>
      <c r="AN26" s="248" t="e">
        <f>AM26/AM27</f>
        <v>#DIV/0!</v>
      </c>
      <c r="AO26" s="198" t="s">
        <v>181</v>
      </c>
      <c r="AP26" s="70">
        <v>0</v>
      </c>
      <c r="AQ26" s="248" t="e">
        <f>AP26/AP27</f>
        <v>#DIV/0!</v>
      </c>
      <c r="AR26" s="198" t="s">
        <v>181</v>
      </c>
      <c r="AS26" s="70">
        <v>0</v>
      </c>
      <c r="AT26" s="248" t="e">
        <f>AS26/AS27</f>
        <v>#DIV/0!</v>
      </c>
      <c r="AU26" s="198" t="s">
        <v>181</v>
      </c>
      <c r="AV26" s="70">
        <v>0</v>
      </c>
      <c r="AW26" s="248" t="e">
        <f>AV26/AV27</f>
        <v>#DIV/0!</v>
      </c>
      <c r="AX26" s="198" t="s">
        <v>181</v>
      </c>
      <c r="AY26" s="70">
        <v>0</v>
      </c>
      <c r="AZ26" s="248" t="e">
        <f>AY26/AY27</f>
        <v>#DIV/0!</v>
      </c>
      <c r="BA26" s="198" t="s">
        <v>181</v>
      </c>
      <c r="BB26" s="70">
        <v>0</v>
      </c>
      <c r="BC26" s="248" t="e">
        <f>BB26/BB27</f>
        <v>#DIV/0!</v>
      </c>
      <c r="BD26" s="198" t="s">
        <v>213</v>
      </c>
      <c r="BE26" s="70">
        <v>1</v>
      </c>
      <c r="BF26" s="248">
        <f>BE26/BE27</f>
        <v>1</v>
      </c>
      <c r="BG26" s="198"/>
      <c r="BH26" s="70">
        <v>0</v>
      </c>
      <c r="BI26" s="248" t="e">
        <f>BH26/BH27</f>
        <v>#DIV/0!</v>
      </c>
      <c r="BJ26" s="198" t="s">
        <v>213</v>
      </c>
      <c r="BK26" s="70">
        <v>0</v>
      </c>
      <c r="BL26" s="248" t="e">
        <f>BK26/BK27</f>
        <v>#DIV/0!</v>
      </c>
      <c r="BM26" s="198" t="s">
        <v>213</v>
      </c>
      <c r="BN26" s="70">
        <v>0</v>
      </c>
      <c r="BO26" s="248">
        <f>BN26/BN27</f>
        <v>0</v>
      </c>
      <c r="BP26" s="198" t="s">
        <v>220</v>
      </c>
      <c r="BQ26" s="70">
        <v>2</v>
      </c>
      <c r="BR26" s="248">
        <f>BQ26/BQ27</f>
        <v>1</v>
      </c>
      <c r="BS26" s="198"/>
      <c r="BT26" s="70">
        <f t="shared" si="0"/>
        <v>3</v>
      </c>
      <c r="BU26" s="70">
        <v>0</v>
      </c>
      <c r="BV26" s="252">
        <f>BU26/BU27</f>
        <v>0</v>
      </c>
      <c r="BW26" s="198" t="s">
        <v>251</v>
      </c>
      <c r="BX26" s="70">
        <v>1</v>
      </c>
      <c r="BY26" s="233">
        <f>BX26/BX27</f>
        <v>0.33333333333333331</v>
      </c>
      <c r="BZ26" s="198" t="s">
        <v>250</v>
      </c>
      <c r="CA26" s="70">
        <v>1</v>
      </c>
      <c r="CB26" s="233">
        <f>CA26/CA27</f>
        <v>1</v>
      </c>
      <c r="CC26" s="198"/>
      <c r="CD26" s="70">
        <v>0</v>
      </c>
      <c r="CE26" s="252">
        <f>CD26/CD27</f>
        <v>0</v>
      </c>
      <c r="CF26" s="198" t="s">
        <v>279</v>
      </c>
      <c r="CG26" s="70">
        <v>0</v>
      </c>
      <c r="CH26" s="252">
        <v>0</v>
      </c>
      <c r="CI26" s="198" t="s">
        <v>292</v>
      </c>
      <c r="CJ26" s="70">
        <v>0</v>
      </c>
      <c r="CK26" s="239">
        <f>CJ26/CJ27</f>
        <v>0</v>
      </c>
      <c r="CL26" s="198" t="s">
        <v>291</v>
      </c>
      <c r="CM26" s="70">
        <f t="shared" si="1"/>
        <v>2</v>
      </c>
      <c r="CN26" s="70">
        <v>1</v>
      </c>
      <c r="CO26" s="233">
        <f>CN26/CN27</f>
        <v>1</v>
      </c>
      <c r="CP26" s="232" t="s">
        <v>331</v>
      </c>
      <c r="CQ26" s="70">
        <v>0</v>
      </c>
      <c r="CR26" s="233">
        <v>0</v>
      </c>
      <c r="CS26" s="232" t="s">
        <v>332</v>
      </c>
      <c r="CT26" s="70">
        <v>0</v>
      </c>
      <c r="CU26" s="233">
        <v>0</v>
      </c>
      <c r="CV26" s="232" t="s">
        <v>383</v>
      </c>
      <c r="CW26" s="70">
        <v>0</v>
      </c>
      <c r="CX26" s="233">
        <v>0</v>
      </c>
      <c r="CY26" s="232" t="s">
        <v>404</v>
      </c>
      <c r="CZ26" s="70">
        <v>0</v>
      </c>
      <c r="DA26" s="233">
        <v>0</v>
      </c>
      <c r="DB26" s="232" t="s">
        <v>445</v>
      </c>
      <c r="DC26" s="70">
        <v>0</v>
      </c>
      <c r="DD26" s="233">
        <v>0</v>
      </c>
      <c r="DF26" s="70">
        <f t="shared" si="2"/>
        <v>1</v>
      </c>
      <c r="DG26" s="267">
        <f t="shared" ref="DG26" si="10">DF26/DF27</f>
        <v>1</v>
      </c>
      <c r="DH26" s="70">
        <v>0</v>
      </c>
      <c r="DI26" s="233">
        <v>0</v>
      </c>
      <c r="DK26" s="103">
        <v>0</v>
      </c>
      <c r="DL26" s="233">
        <v>0</v>
      </c>
      <c r="DM26" s="108">
        <v>0</v>
      </c>
      <c r="DN26" s="233">
        <v>0</v>
      </c>
    </row>
    <row r="27" spans="1:118" ht="36.75" customHeight="1" x14ac:dyDescent="0.2">
      <c r="A27" s="195"/>
      <c r="B27" s="69" t="s">
        <v>44</v>
      </c>
      <c r="C27" s="70">
        <v>2</v>
      </c>
      <c r="D27" s="249"/>
      <c r="E27" s="71"/>
      <c r="F27" s="70">
        <v>2</v>
      </c>
      <c r="G27" s="249"/>
      <c r="H27" s="71"/>
      <c r="I27" s="70">
        <v>0</v>
      </c>
      <c r="J27" s="249"/>
      <c r="K27" s="71"/>
      <c r="L27" s="70">
        <v>0</v>
      </c>
      <c r="M27" s="249"/>
      <c r="N27" s="243"/>
      <c r="O27" s="70">
        <v>1</v>
      </c>
      <c r="P27" s="249"/>
      <c r="Q27" s="243"/>
      <c r="R27" s="70">
        <v>1</v>
      </c>
      <c r="S27" s="249"/>
      <c r="T27" s="243"/>
      <c r="U27" s="70">
        <v>1</v>
      </c>
      <c r="V27" s="249"/>
      <c r="W27" s="243"/>
      <c r="X27" s="70">
        <v>0</v>
      </c>
      <c r="Y27" s="249"/>
      <c r="Z27" s="199"/>
      <c r="AA27" s="70">
        <v>1</v>
      </c>
      <c r="AB27" s="249"/>
      <c r="AC27" s="199"/>
      <c r="AD27" s="70">
        <v>0</v>
      </c>
      <c r="AE27" s="249"/>
      <c r="AF27" s="199"/>
      <c r="AG27" s="70">
        <v>0</v>
      </c>
      <c r="AH27" s="249"/>
      <c r="AI27" s="199"/>
      <c r="AJ27" s="70">
        <v>0</v>
      </c>
      <c r="AK27" s="249"/>
      <c r="AL27" s="199"/>
      <c r="AM27" s="70">
        <v>0</v>
      </c>
      <c r="AN27" s="249"/>
      <c r="AO27" s="199"/>
      <c r="AP27" s="70">
        <v>0</v>
      </c>
      <c r="AQ27" s="249"/>
      <c r="AR27" s="199"/>
      <c r="AS27" s="70">
        <v>0</v>
      </c>
      <c r="AT27" s="249"/>
      <c r="AU27" s="199"/>
      <c r="AV27" s="70">
        <v>0</v>
      </c>
      <c r="AW27" s="249"/>
      <c r="AX27" s="199"/>
      <c r="AY27" s="70">
        <v>0</v>
      </c>
      <c r="AZ27" s="249"/>
      <c r="BA27" s="199"/>
      <c r="BB27" s="70">
        <v>0</v>
      </c>
      <c r="BC27" s="249"/>
      <c r="BD27" s="199"/>
      <c r="BE27" s="70">
        <v>1</v>
      </c>
      <c r="BF27" s="249"/>
      <c r="BG27" s="199"/>
      <c r="BH27" s="70">
        <v>0</v>
      </c>
      <c r="BI27" s="249"/>
      <c r="BJ27" s="199"/>
      <c r="BK27" s="70">
        <v>0</v>
      </c>
      <c r="BL27" s="249"/>
      <c r="BM27" s="199"/>
      <c r="BN27" s="70">
        <v>1</v>
      </c>
      <c r="BO27" s="249"/>
      <c r="BP27" s="199"/>
      <c r="BQ27" s="70">
        <v>2</v>
      </c>
      <c r="BR27" s="249"/>
      <c r="BS27" s="199"/>
      <c r="BT27" s="70">
        <f t="shared" si="0"/>
        <v>4</v>
      </c>
      <c r="BU27" s="70">
        <v>1</v>
      </c>
      <c r="BV27" s="253"/>
      <c r="BW27" s="199"/>
      <c r="BX27" s="70">
        <v>3</v>
      </c>
      <c r="BY27" s="234"/>
      <c r="BZ27" s="199"/>
      <c r="CA27" s="70">
        <v>1</v>
      </c>
      <c r="CB27" s="234"/>
      <c r="CC27" s="199"/>
      <c r="CD27" s="70">
        <v>1</v>
      </c>
      <c r="CE27" s="253"/>
      <c r="CF27" s="199"/>
      <c r="CG27" s="70">
        <v>0</v>
      </c>
      <c r="CH27" s="253"/>
      <c r="CI27" s="199"/>
      <c r="CJ27" s="70">
        <v>1</v>
      </c>
      <c r="CK27" s="240"/>
      <c r="CL27" s="199"/>
      <c r="CM27" s="70">
        <f t="shared" si="1"/>
        <v>7</v>
      </c>
      <c r="CN27" s="70">
        <v>1</v>
      </c>
      <c r="CO27" s="234"/>
      <c r="CP27" s="232"/>
      <c r="CQ27" s="70">
        <v>0</v>
      </c>
      <c r="CR27" s="234"/>
      <c r="CS27" s="232"/>
      <c r="CT27" s="70">
        <v>0</v>
      </c>
      <c r="CU27" s="234"/>
      <c r="CV27" s="232"/>
      <c r="CW27" s="70">
        <v>0</v>
      </c>
      <c r="CX27" s="234"/>
      <c r="CY27" s="232"/>
      <c r="CZ27" s="70">
        <v>0</v>
      </c>
      <c r="DA27" s="234"/>
      <c r="DB27" s="232"/>
      <c r="DC27" s="70">
        <v>0</v>
      </c>
      <c r="DD27" s="234"/>
      <c r="DF27" s="70">
        <f t="shared" si="2"/>
        <v>1</v>
      </c>
      <c r="DG27" s="268"/>
      <c r="DH27" s="70">
        <v>1</v>
      </c>
      <c r="DI27" s="234"/>
      <c r="DK27" s="103">
        <v>0</v>
      </c>
      <c r="DL27" s="234"/>
      <c r="DM27" s="108">
        <v>0</v>
      </c>
      <c r="DN27" s="234"/>
    </row>
    <row r="28" spans="1:118" ht="49.5" hidden="1" customHeight="1" x14ac:dyDescent="0.2">
      <c r="A28" s="195" t="s">
        <v>45</v>
      </c>
      <c r="B28" s="69" t="s">
        <v>46</v>
      </c>
      <c r="C28" s="70">
        <v>0</v>
      </c>
      <c r="D28" s="248" t="s">
        <v>47</v>
      </c>
      <c r="E28" s="71"/>
      <c r="F28" s="70">
        <v>0</v>
      </c>
      <c r="G28" s="248" t="s">
        <v>47</v>
      </c>
      <c r="H28" s="71"/>
      <c r="I28" s="70">
        <v>0</v>
      </c>
      <c r="J28" s="248" t="s">
        <v>47</v>
      </c>
      <c r="K28" s="71"/>
      <c r="L28" s="70">
        <v>0</v>
      </c>
      <c r="M28" s="248" t="s">
        <v>47</v>
      </c>
      <c r="N28" s="242"/>
      <c r="O28" s="70">
        <v>0</v>
      </c>
      <c r="P28" s="248" t="s">
        <v>47</v>
      </c>
      <c r="Q28" s="242"/>
      <c r="R28" s="70">
        <v>0</v>
      </c>
      <c r="S28" s="248" t="s">
        <v>47</v>
      </c>
      <c r="T28" s="242"/>
      <c r="U28" s="70">
        <v>0</v>
      </c>
      <c r="V28" s="248" t="s">
        <v>47</v>
      </c>
      <c r="W28" s="242"/>
      <c r="X28" s="70">
        <v>0</v>
      </c>
      <c r="Y28" s="248" t="s">
        <v>47</v>
      </c>
      <c r="Z28" s="242"/>
      <c r="AA28" s="70">
        <v>0</v>
      </c>
      <c r="AB28" s="248" t="s">
        <v>47</v>
      </c>
      <c r="AC28" s="242"/>
      <c r="AD28" s="70">
        <v>0</v>
      </c>
      <c r="AE28" s="248" t="s">
        <v>47</v>
      </c>
      <c r="AF28" s="242"/>
      <c r="AG28" s="70">
        <v>0</v>
      </c>
      <c r="AH28" s="248" t="s">
        <v>47</v>
      </c>
      <c r="AI28" s="242"/>
      <c r="AJ28" s="70">
        <v>0</v>
      </c>
      <c r="AK28" s="248" t="s">
        <v>47</v>
      </c>
      <c r="AL28" s="242"/>
      <c r="AM28" s="70" t="s">
        <v>47</v>
      </c>
      <c r="AN28" s="248" t="s">
        <v>47</v>
      </c>
      <c r="AO28" s="242"/>
      <c r="AP28" s="70" t="s">
        <v>47</v>
      </c>
      <c r="AQ28" s="248" t="s">
        <v>47</v>
      </c>
      <c r="AR28" s="242"/>
      <c r="AS28" s="70" t="s">
        <v>47</v>
      </c>
      <c r="AT28" s="248" t="s">
        <v>47</v>
      </c>
      <c r="AU28" s="242"/>
      <c r="AV28" s="70" t="s">
        <v>47</v>
      </c>
      <c r="AW28" s="248" t="s">
        <v>47</v>
      </c>
      <c r="AX28" s="242"/>
      <c r="AY28" s="70" t="s">
        <v>47</v>
      </c>
      <c r="AZ28" s="248" t="s">
        <v>47</v>
      </c>
      <c r="BA28" s="242"/>
      <c r="BB28" s="70" t="s">
        <v>47</v>
      </c>
      <c r="BC28" s="248" t="s">
        <v>47</v>
      </c>
      <c r="BD28" s="242"/>
      <c r="BE28" s="70"/>
      <c r="BF28" s="248" t="s">
        <v>47</v>
      </c>
      <c r="BG28" s="242"/>
      <c r="BH28" s="70"/>
      <c r="BI28" s="248" t="s">
        <v>47</v>
      </c>
      <c r="BJ28" s="242"/>
      <c r="BK28" s="70"/>
      <c r="BL28" s="248" t="s">
        <v>47</v>
      </c>
      <c r="BM28" s="242"/>
      <c r="BN28" s="70"/>
      <c r="BO28" s="248" t="s">
        <v>47</v>
      </c>
      <c r="BP28" s="242"/>
      <c r="BQ28" s="70"/>
      <c r="BR28" s="248" t="s">
        <v>47</v>
      </c>
      <c r="BS28" s="242"/>
      <c r="BT28" s="70" t="e">
        <f t="shared" si="0"/>
        <v>#VALUE!</v>
      </c>
      <c r="BU28" s="70"/>
      <c r="BV28" s="242"/>
      <c r="BW28" s="72"/>
      <c r="BX28" s="70"/>
      <c r="BY28" s="242"/>
      <c r="BZ28" s="72"/>
      <c r="CA28" s="70"/>
      <c r="CB28" s="242"/>
      <c r="CC28" s="72"/>
      <c r="CD28" s="70"/>
      <c r="CE28" s="242"/>
      <c r="CF28" s="72"/>
      <c r="CG28" s="70"/>
      <c r="CH28" s="242"/>
      <c r="CI28" s="72"/>
      <c r="CJ28" s="70"/>
      <c r="CK28" s="242"/>
      <c r="CL28" s="72"/>
      <c r="CM28" s="70">
        <f t="shared" si="1"/>
        <v>0</v>
      </c>
      <c r="DF28" s="70">
        <f t="shared" si="2"/>
        <v>0</v>
      </c>
      <c r="DG28" s="267" t="e">
        <f t="shared" ref="DG28" si="11">DF28/DF29</f>
        <v>#DIV/0!</v>
      </c>
    </row>
    <row r="29" spans="1:118" ht="42" hidden="1" customHeight="1" x14ac:dyDescent="0.2">
      <c r="A29" s="195"/>
      <c r="B29" s="69" t="s">
        <v>48</v>
      </c>
      <c r="C29" s="70">
        <v>0</v>
      </c>
      <c r="D29" s="249"/>
      <c r="E29" s="71"/>
      <c r="F29" s="70">
        <v>0</v>
      </c>
      <c r="G29" s="249"/>
      <c r="H29" s="71"/>
      <c r="I29" s="70">
        <v>0</v>
      </c>
      <c r="J29" s="249"/>
      <c r="K29" s="71"/>
      <c r="L29" s="70">
        <v>0</v>
      </c>
      <c r="M29" s="249"/>
      <c r="N29" s="243"/>
      <c r="O29" s="70">
        <v>0</v>
      </c>
      <c r="P29" s="249"/>
      <c r="Q29" s="243"/>
      <c r="R29" s="70">
        <v>0</v>
      </c>
      <c r="S29" s="249"/>
      <c r="T29" s="243"/>
      <c r="U29" s="70">
        <v>0</v>
      </c>
      <c r="V29" s="249"/>
      <c r="W29" s="243"/>
      <c r="X29" s="70">
        <v>0</v>
      </c>
      <c r="Y29" s="249"/>
      <c r="Z29" s="243"/>
      <c r="AA29" s="70">
        <v>0</v>
      </c>
      <c r="AB29" s="249"/>
      <c r="AC29" s="243"/>
      <c r="AD29" s="70">
        <v>0</v>
      </c>
      <c r="AE29" s="249"/>
      <c r="AF29" s="243"/>
      <c r="AG29" s="70">
        <v>0</v>
      </c>
      <c r="AH29" s="249"/>
      <c r="AI29" s="243"/>
      <c r="AJ29" s="70">
        <v>0</v>
      </c>
      <c r="AK29" s="249"/>
      <c r="AL29" s="243"/>
      <c r="AM29" s="70" t="s">
        <v>47</v>
      </c>
      <c r="AN29" s="249"/>
      <c r="AO29" s="243"/>
      <c r="AP29" s="70" t="s">
        <v>47</v>
      </c>
      <c r="AQ29" s="249"/>
      <c r="AR29" s="243"/>
      <c r="AS29" s="70" t="s">
        <v>47</v>
      </c>
      <c r="AT29" s="249"/>
      <c r="AU29" s="243"/>
      <c r="AV29" s="70" t="s">
        <v>47</v>
      </c>
      <c r="AW29" s="249"/>
      <c r="AX29" s="243"/>
      <c r="AY29" s="70" t="s">
        <v>47</v>
      </c>
      <c r="AZ29" s="249"/>
      <c r="BA29" s="243"/>
      <c r="BB29" s="70" t="s">
        <v>47</v>
      </c>
      <c r="BC29" s="249"/>
      <c r="BD29" s="243"/>
      <c r="BE29" s="70"/>
      <c r="BF29" s="249"/>
      <c r="BG29" s="243"/>
      <c r="BH29" s="70"/>
      <c r="BI29" s="249"/>
      <c r="BJ29" s="243"/>
      <c r="BK29" s="70"/>
      <c r="BL29" s="249"/>
      <c r="BM29" s="243"/>
      <c r="BN29" s="70"/>
      <c r="BO29" s="249"/>
      <c r="BP29" s="243"/>
      <c r="BQ29" s="70"/>
      <c r="BR29" s="249"/>
      <c r="BS29" s="243"/>
      <c r="BT29" s="70" t="e">
        <f t="shared" si="0"/>
        <v>#VALUE!</v>
      </c>
      <c r="BU29" s="70"/>
      <c r="BV29" s="243"/>
      <c r="BW29" s="72"/>
      <c r="BX29" s="70"/>
      <c r="BY29" s="243"/>
      <c r="BZ29" s="72"/>
      <c r="CA29" s="70"/>
      <c r="CB29" s="243"/>
      <c r="CC29" s="72"/>
      <c r="CD29" s="70"/>
      <c r="CE29" s="243"/>
      <c r="CF29" s="72"/>
      <c r="CG29" s="70"/>
      <c r="CH29" s="243"/>
      <c r="CI29" s="72"/>
      <c r="CJ29" s="70"/>
      <c r="CK29" s="243"/>
      <c r="CL29" s="72"/>
      <c r="CM29" s="70">
        <f t="shared" si="1"/>
        <v>0</v>
      </c>
      <c r="DF29" s="70">
        <f t="shared" si="2"/>
        <v>0</v>
      </c>
      <c r="DG29" s="268"/>
    </row>
    <row r="30" spans="1:118" ht="42" hidden="1" customHeight="1" x14ac:dyDescent="0.2">
      <c r="A30" s="195" t="s">
        <v>49</v>
      </c>
      <c r="B30" s="69" t="s">
        <v>50</v>
      </c>
      <c r="C30" s="70">
        <v>0</v>
      </c>
      <c r="D30" s="248" t="s">
        <v>47</v>
      </c>
      <c r="E30" s="71"/>
      <c r="F30" s="70">
        <v>0</v>
      </c>
      <c r="G30" s="248" t="s">
        <v>47</v>
      </c>
      <c r="H30" s="71"/>
      <c r="I30" s="70">
        <v>0</v>
      </c>
      <c r="J30" s="248" t="s">
        <v>47</v>
      </c>
      <c r="K30" s="71"/>
      <c r="L30" s="70">
        <v>0</v>
      </c>
      <c r="M30" s="248" t="s">
        <v>47</v>
      </c>
      <c r="N30" s="242"/>
      <c r="O30" s="70">
        <v>0</v>
      </c>
      <c r="P30" s="248" t="s">
        <v>47</v>
      </c>
      <c r="Q30" s="242"/>
      <c r="R30" s="70">
        <v>0</v>
      </c>
      <c r="S30" s="248" t="s">
        <v>47</v>
      </c>
      <c r="T30" s="242"/>
      <c r="U30" s="70">
        <v>0</v>
      </c>
      <c r="V30" s="248" t="s">
        <v>47</v>
      </c>
      <c r="W30" s="242"/>
      <c r="X30" s="70">
        <v>0</v>
      </c>
      <c r="Y30" s="248" t="s">
        <v>47</v>
      </c>
      <c r="Z30" s="242"/>
      <c r="AA30" s="70">
        <v>0</v>
      </c>
      <c r="AB30" s="248" t="s">
        <v>47</v>
      </c>
      <c r="AC30" s="242"/>
      <c r="AD30" s="70">
        <v>0</v>
      </c>
      <c r="AE30" s="248" t="s">
        <v>47</v>
      </c>
      <c r="AF30" s="242"/>
      <c r="AG30" s="70">
        <v>0</v>
      </c>
      <c r="AH30" s="248" t="s">
        <v>47</v>
      </c>
      <c r="AI30" s="242"/>
      <c r="AJ30" s="70">
        <v>0</v>
      </c>
      <c r="AK30" s="248" t="s">
        <v>47</v>
      </c>
      <c r="AL30" s="242"/>
      <c r="AM30" s="70" t="s">
        <v>47</v>
      </c>
      <c r="AN30" s="248" t="s">
        <v>47</v>
      </c>
      <c r="AO30" s="242"/>
      <c r="AP30" s="70" t="s">
        <v>47</v>
      </c>
      <c r="AQ30" s="248" t="s">
        <v>47</v>
      </c>
      <c r="AR30" s="242"/>
      <c r="AS30" s="70" t="s">
        <v>47</v>
      </c>
      <c r="AT30" s="248" t="s">
        <v>47</v>
      </c>
      <c r="AU30" s="242"/>
      <c r="AV30" s="70" t="s">
        <v>47</v>
      </c>
      <c r="AW30" s="248" t="s">
        <v>47</v>
      </c>
      <c r="AX30" s="242"/>
      <c r="AY30" s="70" t="s">
        <v>47</v>
      </c>
      <c r="AZ30" s="248" t="s">
        <v>47</v>
      </c>
      <c r="BA30" s="242"/>
      <c r="BB30" s="70" t="s">
        <v>47</v>
      </c>
      <c r="BC30" s="248" t="s">
        <v>47</v>
      </c>
      <c r="BD30" s="242"/>
      <c r="BE30" s="70"/>
      <c r="BF30" s="248" t="s">
        <v>47</v>
      </c>
      <c r="BG30" s="242"/>
      <c r="BH30" s="70"/>
      <c r="BI30" s="248" t="s">
        <v>47</v>
      </c>
      <c r="BJ30" s="242"/>
      <c r="BK30" s="70"/>
      <c r="BL30" s="248" t="s">
        <v>47</v>
      </c>
      <c r="BM30" s="242"/>
      <c r="BN30" s="70"/>
      <c r="BO30" s="248" t="s">
        <v>47</v>
      </c>
      <c r="BP30" s="242"/>
      <c r="BQ30" s="70"/>
      <c r="BR30" s="248" t="s">
        <v>47</v>
      </c>
      <c r="BS30" s="242"/>
      <c r="BT30" s="70" t="e">
        <f t="shared" si="0"/>
        <v>#VALUE!</v>
      </c>
      <c r="BU30" s="70"/>
      <c r="BV30" s="242"/>
      <c r="BW30" s="72"/>
      <c r="BX30" s="70"/>
      <c r="BY30" s="242"/>
      <c r="BZ30" s="72"/>
      <c r="CA30" s="70"/>
      <c r="CB30" s="242"/>
      <c r="CC30" s="72"/>
      <c r="CD30" s="70"/>
      <c r="CE30" s="242"/>
      <c r="CF30" s="72"/>
      <c r="CG30" s="70"/>
      <c r="CH30" s="242"/>
      <c r="CI30" s="72"/>
      <c r="CJ30" s="70"/>
      <c r="CK30" s="242"/>
      <c r="CL30" s="72"/>
      <c r="CM30" s="70">
        <f t="shared" si="1"/>
        <v>0</v>
      </c>
      <c r="DF30" s="70">
        <f t="shared" si="2"/>
        <v>0</v>
      </c>
      <c r="DG30" s="267" t="e">
        <f t="shared" ref="DG30" si="12">DF30/DF31</f>
        <v>#DIV/0!</v>
      </c>
    </row>
    <row r="31" spans="1:118" ht="42" hidden="1" customHeight="1" x14ac:dyDescent="0.2">
      <c r="A31" s="195"/>
      <c r="B31" s="69" t="s">
        <v>51</v>
      </c>
      <c r="C31" s="70">
        <v>0</v>
      </c>
      <c r="D31" s="249"/>
      <c r="E31" s="71"/>
      <c r="F31" s="70">
        <v>0</v>
      </c>
      <c r="G31" s="249"/>
      <c r="H31" s="71"/>
      <c r="I31" s="70">
        <v>0</v>
      </c>
      <c r="J31" s="249"/>
      <c r="K31" s="71"/>
      <c r="L31" s="70">
        <v>0</v>
      </c>
      <c r="M31" s="249"/>
      <c r="N31" s="243"/>
      <c r="O31" s="70">
        <v>0</v>
      </c>
      <c r="P31" s="249"/>
      <c r="Q31" s="243"/>
      <c r="R31" s="70">
        <v>0</v>
      </c>
      <c r="S31" s="249"/>
      <c r="T31" s="243"/>
      <c r="U31" s="70">
        <v>0</v>
      </c>
      <c r="V31" s="249"/>
      <c r="W31" s="243"/>
      <c r="X31" s="70">
        <v>0</v>
      </c>
      <c r="Y31" s="249"/>
      <c r="Z31" s="243"/>
      <c r="AA31" s="70">
        <v>0</v>
      </c>
      <c r="AB31" s="249"/>
      <c r="AC31" s="243"/>
      <c r="AD31" s="70">
        <v>0</v>
      </c>
      <c r="AE31" s="249"/>
      <c r="AF31" s="243"/>
      <c r="AG31" s="70">
        <v>0</v>
      </c>
      <c r="AH31" s="249"/>
      <c r="AI31" s="243"/>
      <c r="AJ31" s="70">
        <v>0</v>
      </c>
      <c r="AK31" s="249"/>
      <c r="AL31" s="243"/>
      <c r="AM31" s="70" t="s">
        <v>47</v>
      </c>
      <c r="AN31" s="249"/>
      <c r="AO31" s="243"/>
      <c r="AP31" s="70" t="s">
        <v>47</v>
      </c>
      <c r="AQ31" s="249"/>
      <c r="AR31" s="243"/>
      <c r="AS31" s="70" t="s">
        <v>47</v>
      </c>
      <c r="AT31" s="249"/>
      <c r="AU31" s="243"/>
      <c r="AV31" s="70" t="s">
        <v>47</v>
      </c>
      <c r="AW31" s="249"/>
      <c r="AX31" s="243"/>
      <c r="AY31" s="70" t="s">
        <v>47</v>
      </c>
      <c r="AZ31" s="249"/>
      <c r="BA31" s="243"/>
      <c r="BB31" s="70" t="s">
        <v>47</v>
      </c>
      <c r="BC31" s="249"/>
      <c r="BD31" s="243"/>
      <c r="BE31" s="70"/>
      <c r="BF31" s="249"/>
      <c r="BG31" s="243"/>
      <c r="BH31" s="70"/>
      <c r="BI31" s="249"/>
      <c r="BJ31" s="243"/>
      <c r="BK31" s="70"/>
      <c r="BL31" s="249"/>
      <c r="BM31" s="243"/>
      <c r="BN31" s="70"/>
      <c r="BO31" s="249"/>
      <c r="BP31" s="243"/>
      <c r="BQ31" s="70"/>
      <c r="BR31" s="249"/>
      <c r="BS31" s="243"/>
      <c r="BT31" s="70" t="e">
        <f t="shared" si="0"/>
        <v>#VALUE!</v>
      </c>
      <c r="BU31" s="70"/>
      <c r="BV31" s="243"/>
      <c r="BW31" s="72"/>
      <c r="BX31" s="70"/>
      <c r="BY31" s="243"/>
      <c r="BZ31" s="72"/>
      <c r="CA31" s="70"/>
      <c r="CB31" s="243"/>
      <c r="CC31" s="72"/>
      <c r="CD31" s="70"/>
      <c r="CE31" s="243"/>
      <c r="CF31" s="72"/>
      <c r="CG31" s="70"/>
      <c r="CH31" s="243"/>
      <c r="CI31" s="72"/>
      <c r="CJ31" s="70"/>
      <c r="CK31" s="243"/>
      <c r="CL31" s="72"/>
      <c r="CM31" s="70">
        <f t="shared" si="1"/>
        <v>0</v>
      </c>
      <c r="DF31" s="70">
        <f t="shared" si="2"/>
        <v>0</v>
      </c>
      <c r="DG31" s="268"/>
    </row>
    <row r="32" spans="1:118" ht="42" hidden="1" customHeight="1" x14ac:dyDescent="0.2">
      <c r="A32" s="195" t="s">
        <v>52</v>
      </c>
      <c r="B32" s="69" t="s">
        <v>53</v>
      </c>
      <c r="C32" s="70">
        <v>0</v>
      </c>
      <c r="D32" s="248" t="s">
        <v>47</v>
      </c>
      <c r="E32" s="71"/>
      <c r="F32" s="70">
        <v>0</v>
      </c>
      <c r="G32" s="248" t="s">
        <v>47</v>
      </c>
      <c r="H32" s="71"/>
      <c r="I32" s="70">
        <v>0</v>
      </c>
      <c r="J32" s="248" t="s">
        <v>47</v>
      </c>
      <c r="K32" s="71"/>
      <c r="L32" s="70">
        <v>0</v>
      </c>
      <c r="M32" s="248" t="s">
        <v>47</v>
      </c>
      <c r="N32" s="242"/>
      <c r="O32" s="70">
        <v>0</v>
      </c>
      <c r="P32" s="248" t="s">
        <v>47</v>
      </c>
      <c r="Q32" s="242"/>
      <c r="R32" s="70">
        <v>0</v>
      </c>
      <c r="S32" s="248" t="s">
        <v>47</v>
      </c>
      <c r="T32" s="242"/>
      <c r="U32" s="70">
        <v>0</v>
      </c>
      <c r="V32" s="248" t="s">
        <v>47</v>
      </c>
      <c r="W32" s="242"/>
      <c r="X32" s="70">
        <v>0</v>
      </c>
      <c r="Y32" s="248" t="s">
        <v>47</v>
      </c>
      <c r="Z32" s="242"/>
      <c r="AA32" s="70">
        <v>0</v>
      </c>
      <c r="AB32" s="248" t="s">
        <v>47</v>
      </c>
      <c r="AC32" s="242"/>
      <c r="AD32" s="70">
        <v>0</v>
      </c>
      <c r="AE32" s="248" t="s">
        <v>47</v>
      </c>
      <c r="AF32" s="242"/>
      <c r="AG32" s="70">
        <v>0</v>
      </c>
      <c r="AH32" s="248" t="s">
        <v>47</v>
      </c>
      <c r="AI32" s="242"/>
      <c r="AJ32" s="70">
        <v>0</v>
      </c>
      <c r="AK32" s="248" t="s">
        <v>47</v>
      </c>
      <c r="AL32" s="242"/>
      <c r="AM32" s="70" t="s">
        <v>47</v>
      </c>
      <c r="AN32" s="248" t="s">
        <v>47</v>
      </c>
      <c r="AO32" s="242"/>
      <c r="AP32" s="70" t="s">
        <v>47</v>
      </c>
      <c r="AQ32" s="248" t="s">
        <v>47</v>
      </c>
      <c r="AR32" s="242"/>
      <c r="AS32" s="70" t="s">
        <v>47</v>
      </c>
      <c r="AT32" s="248" t="s">
        <v>47</v>
      </c>
      <c r="AU32" s="242"/>
      <c r="AV32" s="70" t="s">
        <v>47</v>
      </c>
      <c r="AW32" s="248" t="s">
        <v>47</v>
      </c>
      <c r="AX32" s="242"/>
      <c r="AY32" s="70" t="s">
        <v>47</v>
      </c>
      <c r="AZ32" s="248" t="s">
        <v>47</v>
      </c>
      <c r="BA32" s="242"/>
      <c r="BB32" s="70" t="s">
        <v>47</v>
      </c>
      <c r="BC32" s="248" t="s">
        <v>47</v>
      </c>
      <c r="BD32" s="242"/>
      <c r="BE32" s="70"/>
      <c r="BF32" s="248" t="s">
        <v>47</v>
      </c>
      <c r="BG32" s="242"/>
      <c r="BH32" s="70"/>
      <c r="BI32" s="248" t="s">
        <v>47</v>
      </c>
      <c r="BJ32" s="242"/>
      <c r="BK32" s="70"/>
      <c r="BL32" s="248" t="s">
        <v>47</v>
      </c>
      <c r="BM32" s="242"/>
      <c r="BN32" s="70"/>
      <c r="BO32" s="248" t="s">
        <v>47</v>
      </c>
      <c r="BP32" s="242"/>
      <c r="BQ32" s="70"/>
      <c r="BR32" s="248" t="s">
        <v>47</v>
      </c>
      <c r="BS32" s="242"/>
      <c r="BT32" s="70" t="e">
        <f t="shared" si="0"/>
        <v>#VALUE!</v>
      </c>
      <c r="BU32" s="70"/>
      <c r="BV32" s="242"/>
      <c r="BW32" s="72"/>
      <c r="BX32" s="70"/>
      <c r="BY32" s="242"/>
      <c r="BZ32" s="72"/>
      <c r="CA32" s="70"/>
      <c r="CB32" s="242"/>
      <c r="CC32" s="72"/>
      <c r="CD32" s="70"/>
      <c r="CE32" s="242"/>
      <c r="CF32" s="72"/>
      <c r="CG32" s="70"/>
      <c r="CH32" s="242"/>
      <c r="CI32" s="72"/>
      <c r="CJ32" s="70"/>
      <c r="CK32" s="242"/>
      <c r="CL32" s="72"/>
      <c r="CM32" s="70">
        <f t="shared" si="1"/>
        <v>0</v>
      </c>
      <c r="DF32" s="70">
        <f t="shared" si="2"/>
        <v>0</v>
      </c>
      <c r="DG32" s="267" t="e">
        <f t="shared" ref="DG32" si="13">DF32/DF33</f>
        <v>#DIV/0!</v>
      </c>
    </row>
    <row r="33" spans="1:118" ht="42" hidden="1" customHeight="1" x14ac:dyDescent="0.2">
      <c r="A33" s="195"/>
      <c r="B33" s="69" t="s">
        <v>54</v>
      </c>
      <c r="C33" s="70">
        <v>0</v>
      </c>
      <c r="D33" s="249"/>
      <c r="E33" s="71"/>
      <c r="F33" s="70">
        <v>0</v>
      </c>
      <c r="G33" s="249"/>
      <c r="H33" s="71"/>
      <c r="I33" s="70">
        <v>0</v>
      </c>
      <c r="J33" s="249"/>
      <c r="K33" s="71"/>
      <c r="L33" s="70">
        <v>0</v>
      </c>
      <c r="M33" s="249"/>
      <c r="N33" s="243"/>
      <c r="O33" s="70">
        <v>0</v>
      </c>
      <c r="P33" s="249"/>
      <c r="Q33" s="243"/>
      <c r="R33" s="70">
        <v>0</v>
      </c>
      <c r="S33" s="249"/>
      <c r="T33" s="243"/>
      <c r="U33" s="70">
        <v>0</v>
      </c>
      <c r="V33" s="249"/>
      <c r="W33" s="243"/>
      <c r="X33" s="70">
        <v>0</v>
      </c>
      <c r="Y33" s="249"/>
      <c r="Z33" s="243"/>
      <c r="AA33" s="70">
        <v>0</v>
      </c>
      <c r="AB33" s="249"/>
      <c r="AC33" s="243"/>
      <c r="AD33" s="70">
        <v>0</v>
      </c>
      <c r="AE33" s="249"/>
      <c r="AF33" s="243"/>
      <c r="AG33" s="70">
        <v>0</v>
      </c>
      <c r="AH33" s="249"/>
      <c r="AI33" s="243"/>
      <c r="AJ33" s="70">
        <v>0</v>
      </c>
      <c r="AK33" s="249"/>
      <c r="AL33" s="243"/>
      <c r="AM33" s="70" t="s">
        <v>47</v>
      </c>
      <c r="AN33" s="249"/>
      <c r="AO33" s="243"/>
      <c r="AP33" s="70" t="s">
        <v>47</v>
      </c>
      <c r="AQ33" s="249"/>
      <c r="AR33" s="243"/>
      <c r="AS33" s="70" t="s">
        <v>47</v>
      </c>
      <c r="AT33" s="249"/>
      <c r="AU33" s="243"/>
      <c r="AV33" s="70" t="s">
        <v>47</v>
      </c>
      <c r="AW33" s="249"/>
      <c r="AX33" s="243"/>
      <c r="AY33" s="70" t="s">
        <v>47</v>
      </c>
      <c r="AZ33" s="249"/>
      <c r="BA33" s="243"/>
      <c r="BB33" s="70" t="s">
        <v>47</v>
      </c>
      <c r="BC33" s="249"/>
      <c r="BD33" s="243"/>
      <c r="BE33" s="70"/>
      <c r="BF33" s="249"/>
      <c r="BG33" s="243"/>
      <c r="BH33" s="70"/>
      <c r="BI33" s="249"/>
      <c r="BJ33" s="243"/>
      <c r="BK33" s="70"/>
      <c r="BL33" s="249"/>
      <c r="BM33" s="243"/>
      <c r="BN33" s="70"/>
      <c r="BO33" s="249"/>
      <c r="BP33" s="243"/>
      <c r="BQ33" s="70"/>
      <c r="BR33" s="249"/>
      <c r="BS33" s="243"/>
      <c r="BT33" s="70" t="e">
        <f t="shared" si="0"/>
        <v>#VALUE!</v>
      </c>
      <c r="BU33" s="70"/>
      <c r="BV33" s="243"/>
      <c r="BW33" s="72"/>
      <c r="BX33" s="70"/>
      <c r="BY33" s="243"/>
      <c r="BZ33" s="72"/>
      <c r="CA33" s="70"/>
      <c r="CB33" s="243"/>
      <c r="CC33" s="72"/>
      <c r="CD33" s="70"/>
      <c r="CE33" s="243"/>
      <c r="CF33" s="72"/>
      <c r="CG33" s="70"/>
      <c r="CH33" s="243"/>
      <c r="CI33" s="72"/>
      <c r="CJ33" s="70"/>
      <c r="CK33" s="243"/>
      <c r="CL33" s="72"/>
      <c r="CM33" s="70">
        <f t="shared" si="1"/>
        <v>0</v>
      </c>
      <c r="DF33" s="70">
        <f t="shared" si="2"/>
        <v>0</v>
      </c>
      <c r="DG33" s="268"/>
    </row>
    <row r="34" spans="1:118" ht="57" customHeight="1" x14ac:dyDescent="0.2">
      <c r="A34" s="195" t="s">
        <v>55</v>
      </c>
      <c r="B34" s="69" t="s">
        <v>56</v>
      </c>
      <c r="C34" s="70">
        <v>193</v>
      </c>
      <c r="D34" s="248">
        <f>+C34/C35</f>
        <v>0.71747211895910779</v>
      </c>
      <c r="E34" s="71"/>
      <c r="F34" s="70">
        <v>61</v>
      </c>
      <c r="G34" s="248">
        <f>+F34/F35</f>
        <v>0.63541666666666663</v>
      </c>
      <c r="H34" s="71"/>
      <c r="I34" s="70">
        <v>35</v>
      </c>
      <c r="J34" s="248">
        <f>+I34/I35</f>
        <v>0.3888888888888889</v>
      </c>
      <c r="K34" s="71"/>
      <c r="L34" s="70">
        <v>5</v>
      </c>
      <c r="M34" s="248">
        <f>+L34/L35</f>
        <v>7.8125E-2</v>
      </c>
      <c r="N34" s="242"/>
      <c r="O34" s="70">
        <v>0</v>
      </c>
      <c r="P34" s="248">
        <f>+O34/O35</f>
        <v>0</v>
      </c>
      <c r="Q34" s="242"/>
      <c r="R34" s="70">
        <v>0</v>
      </c>
      <c r="S34" s="248" t="e">
        <f>+R34/R35</f>
        <v>#DIV/0!</v>
      </c>
      <c r="T34" s="242" t="s">
        <v>174</v>
      </c>
      <c r="U34" s="70">
        <v>16</v>
      </c>
      <c r="V34" s="248">
        <f>+U34/U35</f>
        <v>9.4117647058823528E-2</v>
      </c>
      <c r="W34" s="242"/>
      <c r="X34" s="70">
        <v>3</v>
      </c>
      <c r="Y34" s="248">
        <f>+X34/X35</f>
        <v>0.05</v>
      </c>
      <c r="Z34" s="242"/>
      <c r="AA34" s="70">
        <v>0</v>
      </c>
      <c r="AB34" s="248">
        <f>+AA34/AA35</f>
        <v>0</v>
      </c>
      <c r="AC34" s="242"/>
      <c r="AD34" s="70">
        <v>1</v>
      </c>
      <c r="AE34" s="248">
        <f>+AD34/AD35</f>
        <v>1.7543859649122806E-2</v>
      </c>
      <c r="AF34" s="242"/>
      <c r="AG34" s="70">
        <v>0</v>
      </c>
      <c r="AH34" s="248">
        <f>+AG34/AG35</f>
        <v>0</v>
      </c>
      <c r="AI34" s="242"/>
      <c r="AJ34" s="70">
        <v>0</v>
      </c>
      <c r="AK34" s="248">
        <f>+AJ34/AJ35</f>
        <v>0</v>
      </c>
      <c r="AL34" s="242"/>
      <c r="AM34" s="70">
        <v>90</v>
      </c>
      <c r="AN34" s="248">
        <f>+AM34/AM35</f>
        <v>11.25</v>
      </c>
      <c r="AO34" s="242"/>
      <c r="AP34" s="70">
        <v>0</v>
      </c>
      <c r="AQ34" s="248">
        <f>+AP34/AP35</f>
        <v>0</v>
      </c>
      <c r="AR34" s="198" t="s">
        <v>199</v>
      </c>
      <c r="AS34" s="70">
        <v>16</v>
      </c>
      <c r="AT34" s="248">
        <f>+AS34/AS35</f>
        <v>6.25E-2</v>
      </c>
      <c r="AU34" s="242"/>
      <c r="AV34" s="70">
        <v>36</v>
      </c>
      <c r="AW34" s="248">
        <f>+AV34/AV35</f>
        <v>0.15384615384615385</v>
      </c>
      <c r="AX34" s="242"/>
      <c r="AY34" s="70">
        <v>21</v>
      </c>
      <c r="AZ34" s="248">
        <f>+AY34/AY35</f>
        <v>0.10396039603960396</v>
      </c>
      <c r="BA34" s="242"/>
      <c r="BB34" s="70">
        <v>20</v>
      </c>
      <c r="BC34" s="248">
        <f>+BB34/BB35</f>
        <v>9.569377990430622E-2</v>
      </c>
      <c r="BD34" s="242"/>
      <c r="BE34" s="70">
        <v>32</v>
      </c>
      <c r="BF34" s="248">
        <f>+BE34/BE35</f>
        <v>0.13852813852813853</v>
      </c>
      <c r="BG34" s="242"/>
      <c r="BH34" s="70">
        <v>29</v>
      </c>
      <c r="BI34" s="248">
        <f>+BH34/BH35</f>
        <v>0.14146341463414633</v>
      </c>
      <c r="BJ34" s="242"/>
      <c r="BK34" s="70">
        <v>10</v>
      </c>
      <c r="BL34" s="248">
        <f>+BK34/BK35</f>
        <v>5.8139534883720929E-2</v>
      </c>
      <c r="BM34" s="242"/>
      <c r="BN34" s="70">
        <v>18</v>
      </c>
      <c r="BO34" s="248">
        <f>+BN34/BN35</f>
        <v>7.792207792207792E-2</v>
      </c>
      <c r="BP34" s="242"/>
      <c r="BQ34" s="70">
        <v>16</v>
      </c>
      <c r="BR34" s="248">
        <f>+BQ34/BQ35</f>
        <v>9.1954022988505746E-2</v>
      </c>
      <c r="BS34" s="242"/>
      <c r="BT34" s="70">
        <f t="shared" si="0"/>
        <v>125</v>
      </c>
      <c r="BU34" s="70">
        <v>23</v>
      </c>
      <c r="BV34" s="233">
        <f>BU34/BU35</f>
        <v>9.5435684647302899E-2</v>
      </c>
      <c r="BW34" s="198" t="s">
        <v>238</v>
      </c>
      <c r="BX34" s="70">
        <v>31</v>
      </c>
      <c r="BY34" s="233">
        <f>BX34/BX35</f>
        <v>0.14691943127962084</v>
      </c>
      <c r="BZ34" s="198" t="s">
        <v>239</v>
      </c>
      <c r="CA34" s="70">
        <v>34</v>
      </c>
      <c r="CB34" s="233">
        <f>CA34/CA35</f>
        <v>0.15740740740740741</v>
      </c>
      <c r="CC34" s="198" t="s">
        <v>257</v>
      </c>
      <c r="CD34" s="70">
        <v>28</v>
      </c>
      <c r="CE34" s="233">
        <f>CD34/CD35</f>
        <v>0.13084112149532709</v>
      </c>
      <c r="CF34" s="198" t="s">
        <v>271</v>
      </c>
      <c r="CG34" s="70">
        <v>22</v>
      </c>
      <c r="CH34" s="233">
        <f>CG34/CG35</f>
        <v>0.10526315789473684</v>
      </c>
      <c r="CI34" s="198" t="s">
        <v>293</v>
      </c>
      <c r="CJ34" s="70">
        <v>19</v>
      </c>
      <c r="CK34" s="233">
        <f>CJ34/CJ35</f>
        <v>0.11728395061728394</v>
      </c>
      <c r="CL34" s="198" t="s">
        <v>294</v>
      </c>
      <c r="CM34" s="70">
        <f t="shared" si="1"/>
        <v>157</v>
      </c>
      <c r="CN34" s="70">
        <v>19</v>
      </c>
      <c r="CO34" s="233">
        <f>CN34/CN35</f>
        <v>0.13380281690140844</v>
      </c>
      <c r="CP34" s="232" t="s">
        <v>333</v>
      </c>
      <c r="CQ34" s="70">
        <v>20</v>
      </c>
      <c r="CR34" s="233">
        <f>CQ34/CQ35</f>
        <v>0.10869565217391304</v>
      </c>
      <c r="CS34" s="232" t="s">
        <v>334</v>
      </c>
      <c r="CT34" s="70">
        <v>28</v>
      </c>
      <c r="CU34" s="233">
        <f>CT34/CT35</f>
        <v>0.12785388127853881</v>
      </c>
      <c r="CV34" s="232" t="s">
        <v>384</v>
      </c>
      <c r="CW34" s="70">
        <v>25</v>
      </c>
      <c r="CX34" s="219">
        <f>CW34/CW35</f>
        <v>0.11792452830188679</v>
      </c>
      <c r="CY34" s="232" t="s">
        <v>405</v>
      </c>
      <c r="CZ34" s="70">
        <v>24</v>
      </c>
      <c r="DA34" s="233">
        <f>CZ34/CZ35</f>
        <v>0.11059907834101383</v>
      </c>
      <c r="DB34" s="232" t="s">
        <v>446</v>
      </c>
      <c r="DC34" s="70">
        <v>19</v>
      </c>
      <c r="DD34" s="233">
        <f>DC34/DC35</f>
        <v>9.6446700507614211E-2</v>
      </c>
      <c r="DF34" s="70">
        <f t="shared" si="2"/>
        <v>135</v>
      </c>
      <c r="DG34" s="267">
        <f t="shared" ref="DG34" si="14">DF34/DF35</f>
        <v>0.11528608027327071</v>
      </c>
      <c r="DH34" s="70">
        <v>16</v>
      </c>
      <c r="DI34" s="233">
        <f>DH34/DH35</f>
        <v>8.7431693989071038E-2</v>
      </c>
      <c r="DK34" s="103">
        <v>25</v>
      </c>
      <c r="DL34" s="233">
        <f>DK34/DK35</f>
        <v>0.13227513227513227</v>
      </c>
      <c r="DM34" s="108">
        <v>15</v>
      </c>
      <c r="DN34" s="233">
        <f>DM34/DM35</f>
        <v>9.7402597402597407E-2</v>
      </c>
    </row>
    <row r="35" spans="1:118" ht="42.75" customHeight="1" x14ac:dyDescent="0.2">
      <c r="A35" s="195"/>
      <c r="B35" s="69" t="s">
        <v>57</v>
      </c>
      <c r="C35" s="70">
        <v>269</v>
      </c>
      <c r="D35" s="249"/>
      <c r="E35" s="71"/>
      <c r="F35" s="70">
        <f>61+35</f>
        <v>96</v>
      </c>
      <c r="G35" s="249"/>
      <c r="H35" s="71"/>
      <c r="I35" s="70">
        <v>90</v>
      </c>
      <c r="J35" s="249"/>
      <c r="K35" s="71"/>
      <c r="L35" s="70">
        <v>64</v>
      </c>
      <c r="M35" s="249"/>
      <c r="N35" s="243"/>
      <c r="O35" s="70">
        <v>42</v>
      </c>
      <c r="P35" s="249"/>
      <c r="Q35" s="243"/>
      <c r="R35" s="70">
        <v>0</v>
      </c>
      <c r="S35" s="249"/>
      <c r="T35" s="243"/>
      <c r="U35" s="70">
        <v>170</v>
      </c>
      <c r="V35" s="249"/>
      <c r="W35" s="243"/>
      <c r="X35" s="70">
        <v>60</v>
      </c>
      <c r="Y35" s="249"/>
      <c r="Z35" s="243"/>
      <c r="AA35" s="70">
        <v>52</v>
      </c>
      <c r="AB35" s="249"/>
      <c r="AC35" s="243"/>
      <c r="AD35" s="70">
        <v>57</v>
      </c>
      <c r="AE35" s="249"/>
      <c r="AF35" s="243"/>
      <c r="AG35" s="70">
        <v>72</v>
      </c>
      <c r="AH35" s="249"/>
      <c r="AI35" s="243"/>
      <c r="AJ35" s="70">
        <v>33</v>
      </c>
      <c r="AK35" s="249"/>
      <c r="AL35" s="243"/>
      <c r="AM35" s="70">
        <v>8</v>
      </c>
      <c r="AN35" s="249"/>
      <c r="AO35" s="243"/>
      <c r="AP35" s="70">
        <v>46</v>
      </c>
      <c r="AQ35" s="249"/>
      <c r="AR35" s="199"/>
      <c r="AS35" s="70">
        <v>256</v>
      </c>
      <c r="AT35" s="249"/>
      <c r="AU35" s="243"/>
      <c r="AV35" s="70">
        <v>234</v>
      </c>
      <c r="AW35" s="249"/>
      <c r="AX35" s="243"/>
      <c r="AY35" s="70">
        <v>202</v>
      </c>
      <c r="AZ35" s="249"/>
      <c r="BA35" s="243"/>
      <c r="BB35" s="70">
        <v>209</v>
      </c>
      <c r="BC35" s="249"/>
      <c r="BD35" s="243"/>
      <c r="BE35" s="70">
        <v>231</v>
      </c>
      <c r="BF35" s="249"/>
      <c r="BG35" s="243"/>
      <c r="BH35" s="70">
        <v>205</v>
      </c>
      <c r="BI35" s="249"/>
      <c r="BJ35" s="243"/>
      <c r="BK35" s="70">
        <v>172</v>
      </c>
      <c r="BL35" s="249"/>
      <c r="BM35" s="243"/>
      <c r="BN35" s="70">
        <v>231</v>
      </c>
      <c r="BO35" s="249"/>
      <c r="BP35" s="243"/>
      <c r="BQ35" s="70">
        <v>174</v>
      </c>
      <c r="BR35" s="249"/>
      <c r="BS35" s="243"/>
      <c r="BT35" s="70">
        <f t="shared" si="0"/>
        <v>1222</v>
      </c>
      <c r="BU35" s="70">
        <v>241</v>
      </c>
      <c r="BV35" s="234"/>
      <c r="BW35" s="199"/>
      <c r="BX35" s="70">
        <v>211</v>
      </c>
      <c r="BY35" s="234"/>
      <c r="BZ35" s="199"/>
      <c r="CA35" s="70">
        <v>216</v>
      </c>
      <c r="CB35" s="234"/>
      <c r="CC35" s="199"/>
      <c r="CD35" s="70">
        <v>214</v>
      </c>
      <c r="CE35" s="234"/>
      <c r="CF35" s="199"/>
      <c r="CG35" s="70">
        <v>209</v>
      </c>
      <c r="CH35" s="234"/>
      <c r="CI35" s="199"/>
      <c r="CJ35" s="70">
        <v>162</v>
      </c>
      <c r="CK35" s="234"/>
      <c r="CL35" s="199"/>
      <c r="CM35" s="70">
        <f t="shared" si="1"/>
        <v>1253</v>
      </c>
      <c r="CN35" s="70">
        <v>142</v>
      </c>
      <c r="CO35" s="234"/>
      <c r="CP35" s="232"/>
      <c r="CQ35" s="70">
        <v>184</v>
      </c>
      <c r="CR35" s="234"/>
      <c r="CS35" s="232"/>
      <c r="CT35" s="70">
        <v>219</v>
      </c>
      <c r="CU35" s="234"/>
      <c r="CV35" s="232"/>
      <c r="CW35" s="70">
        <v>212</v>
      </c>
      <c r="CX35" s="220"/>
      <c r="CY35" s="232"/>
      <c r="CZ35" s="70">
        <v>217</v>
      </c>
      <c r="DA35" s="234"/>
      <c r="DB35" s="232"/>
      <c r="DC35" s="70">
        <v>197</v>
      </c>
      <c r="DD35" s="234"/>
      <c r="DF35" s="70">
        <f t="shared" si="2"/>
        <v>1171</v>
      </c>
      <c r="DG35" s="268"/>
      <c r="DH35" s="70">
        <v>183</v>
      </c>
      <c r="DI35" s="234"/>
      <c r="DK35" s="103">
        <v>189</v>
      </c>
      <c r="DL35" s="234"/>
      <c r="DM35" s="108">
        <v>154</v>
      </c>
      <c r="DN35" s="234"/>
    </row>
    <row r="36" spans="1:118" ht="36" customHeight="1" x14ac:dyDescent="0.2">
      <c r="A36" s="195" t="s">
        <v>58</v>
      </c>
      <c r="B36" s="69" t="s">
        <v>59</v>
      </c>
      <c r="C36" s="70">
        <v>118</v>
      </c>
      <c r="D36" s="248">
        <f>+C36/C37</f>
        <v>0.58128078817733986</v>
      </c>
      <c r="E36" s="71"/>
      <c r="F36" s="70">
        <v>35</v>
      </c>
      <c r="G36" s="248">
        <f>+F36/F37</f>
        <v>0.57377049180327866</v>
      </c>
      <c r="H36" s="71"/>
      <c r="I36" s="70">
        <v>45</v>
      </c>
      <c r="J36" s="248">
        <f>+I36/I37</f>
        <v>0.68181818181818177</v>
      </c>
      <c r="K36" s="71"/>
      <c r="L36" s="70">
        <v>53</v>
      </c>
      <c r="M36" s="248">
        <f>+L36/L37</f>
        <v>1.2325581395348837</v>
      </c>
      <c r="N36" s="242"/>
      <c r="O36" s="70">
        <v>1</v>
      </c>
      <c r="P36" s="248">
        <f>+O36/O37</f>
        <v>4.5454545454545456E-2</v>
      </c>
      <c r="Q36" s="242"/>
      <c r="R36" s="70">
        <v>0</v>
      </c>
      <c r="S36" s="248" t="e">
        <f>+R36/R37</f>
        <v>#DIV/0!</v>
      </c>
      <c r="T36" s="242" t="s">
        <v>174</v>
      </c>
      <c r="U36" s="70">
        <v>8</v>
      </c>
      <c r="V36" s="248">
        <f>+U36/U37</f>
        <v>0.11940298507462686</v>
      </c>
      <c r="W36" s="242"/>
      <c r="X36" s="70">
        <v>12</v>
      </c>
      <c r="Y36" s="248">
        <f>+X36/X37</f>
        <v>0.25</v>
      </c>
      <c r="Z36" s="242"/>
      <c r="AA36" s="70">
        <v>1</v>
      </c>
      <c r="AB36" s="248">
        <f>+AA36/AA37</f>
        <v>2.4390243902439025E-2</v>
      </c>
      <c r="AC36" s="242"/>
      <c r="AD36" s="70">
        <v>3</v>
      </c>
      <c r="AE36" s="248">
        <f>+AD36/AD37</f>
        <v>8.5714285714285715E-2</v>
      </c>
      <c r="AF36" s="242"/>
      <c r="AG36" s="70">
        <v>4</v>
      </c>
      <c r="AH36" s="248">
        <f>+AG36/AG37</f>
        <v>8.1632653061224483E-2</v>
      </c>
      <c r="AI36" s="242"/>
      <c r="AJ36" s="70">
        <v>1</v>
      </c>
      <c r="AK36" s="248">
        <f>+AJ36/AJ37</f>
        <v>2.8571428571428571E-2</v>
      </c>
      <c r="AL36" s="242"/>
      <c r="AM36" s="70">
        <v>54</v>
      </c>
      <c r="AN36" s="248">
        <f>+AM36/AM37</f>
        <v>13.5</v>
      </c>
      <c r="AO36" s="242"/>
      <c r="AP36" s="70">
        <v>0</v>
      </c>
      <c r="AQ36" s="248">
        <f>+AP36/AP37</f>
        <v>0</v>
      </c>
      <c r="AR36" s="198" t="s">
        <v>199</v>
      </c>
      <c r="AS36" s="70">
        <v>6</v>
      </c>
      <c r="AT36" s="248">
        <f>+AS36/AS37</f>
        <v>6.1224489795918366E-2</v>
      </c>
      <c r="AU36" s="242"/>
      <c r="AV36" s="70">
        <v>13</v>
      </c>
      <c r="AW36" s="248">
        <f>+AV36/AV37</f>
        <v>0.14772727272727273</v>
      </c>
      <c r="AX36" s="242"/>
      <c r="AY36" s="70">
        <v>12</v>
      </c>
      <c r="AZ36" s="248">
        <f>+AY36/AY37</f>
        <v>0.13793103448275862</v>
      </c>
      <c r="BA36" s="242"/>
      <c r="BB36" s="70">
        <v>2</v>
      </c>
      <c r="BC36" s="248">
        <f>+BB36/BB37</f>
        <v>2.4096385542168676E-2</v>
      </c>
      <c r="BD36" s="242"/>
      <c r="BE36" s="70">
        <v>2</v>
      </c>
      <c r="BF36" s="248">
        <f>+BE36/BE37</f>
        <v>1.8018018018018018E-2</v>
      </c>
      <c r="BG36" s="242"/>
      <c r="BH36" s="70">
        <v>3</v>
      </c>
      <c r="BI36" s="248">
        <f>+BH36/BH37</f>
        <v>4.2253521126760563E-2</v>
      </c>
      <c r="BJ36" s="242"/>
      <c r="BK36" s="70">
        <v>4</v>
      </c>
      <c r="BL36" s="248">
        <f>+BK36/BK37</f>
        <v>5.7971014492753624E-2</v>
      </c>
      <c r="BM36" s="242"/>
      <c r="BN36" s="70">
        <v>8</v>
      </c>
      <c r="BO36" s="248">
        <f>+BN36/BN37</f>
        <v>0.1038961038961039</v>
      </c>
      <c r="BP36" s="242"/>
      <c r="BQ36" s="70">
        <v>5</v>
      </c>
      <c r="BR36" s="248">
        <f>+BQ36/BQ37</f>
        <v>5.8823529411764705E-2</v>
      </c>
      <c r="BS36" s="242"/>
      <c r="BT36" s="70">
        <f t="shared" si="0"/>
        <v>24</v>
      </c>
      <c r="BU36" s="70">
        <v>12</v>
      </c>
      <c r="BV36" s="233">
        <f>BU36/BU37</f>
        <v>0.13043478260869565</v>
      </c>
      <c r="BW36" s="198" t="s">
        <v>240</v>
      </c>
      <c r="BX36" s="70">
        <v>18</v>
      </c>
      <c r="BY36" s="233">
        <f>BX36/BX37</f>
        <v>0.20689655172413793</v>
      </c>
      <c r="BZ36" s="198" t="s">
        <v>241</v>
      </c>
      <c r="CA36" s="70">
        <v>23</v>
      </c>
      <c r="CB36" s="233">
        <f>CA36/CA37</f>
        <v>0.30666666666666664</v>
      </c>
      <c r="CC36" s="198" t="s">
        <v>258</v>
      </c>
      <c r="CD36" s="70">
        <v>18</v>
      </c>
      <c r="CE36" s="233">
        <f>CD36/CD37</f>
        <v>0.20930232558139536</v>
      </c>
      <c r="CF36" s="198" t="s">
        <v>272</v>
      </c>
      <c r="CG36" s="70">
        <v>17</v>
      </c>
      <c r="CH36" s="233">
        <f>CG36/CG37</f>
        <v>0.22972972972972974</v>
      </c>
      <c r="CI36" s="198" t="s">
        <v>295</v>
      </c>
      <c r="CJ36" s="70">
        <v>13</v>
      </c>
      <c r="CK36" s="233">
        <f>CJ36/CJ37</f>
        <v>0.16455696202531644</v>
      </c>
      <c r="CL36" s="198" t="s">
        <v>296</v>
      </c>
      <c r="CM36" s="70">
        <f t="shared" si="1"/>
        <v>101</v>
      </c>
      <c r="CN36" s="70">
        <v>9</v>
      </c>
      <c r="CO36" s="233">
        <f>CN36/CN37</f>
        <v>0.19565217391304349</v>
      </c>
      <c r="CP36" s="232" t="s">
        <v>336</v>
      </c>
      <c r="CQ36" s="70">
        <v>4</v>
      </c>
      <c r="CR36" s="233">
        <f>CQ36/CQ37</f>
        <v>0.2</v>
      </c>
      <c r="CS36" s="232" t="s">
        <v>335</v>
      </c>
      <c r="CT36" s="70">
        <v>11</v>
      </c>
      <c r="CU36" s="233">
        <f>CT36/CT37</f>
        <v>0.12941176470588237</v>
      </c>
      <c r="CV36" s="232" t="s">
        <v>385</v>
      </c>
      <c r="CW36" s="70">
        <v>15</v>
      </c>
      <c r="CX36" s="219">
        <f>CW36/CW37</f>
        <v>0.17045454545454544</v>
      </c>
      <c r="CY36" s="232" t="s">
        <v>406</v>
      </c>
      <c r="CZ36" s="70">
        <v>12</v>
      </c>
      <c r="DA36" s="233">
        <f>CZ36/CZ37</f>
        <v>0.16438356164383561</v>
      </c>
      <c r="DB36" s="232" t="s">
        <v>447</v>
      </c>
      <c r="DC36" s="70">
        <v>8</v>
      </c>
      <c r="DD36" s="233">
        <f>DC36/DC37</f>
        <v>9.1954022988505746E-2</v>
      </c>
      <c r="DF36" s="70">
        <f t="shared" si="2"/>
        <v>59</v>
      </c>
      <c r="DG36" s="267">
        <f t="shared" ref="DG36" si="15">DF36/DF37</f>
        <v>0.14786967418546365</v>
      </c>
      <c r="DH36" s="70">
        <v>8</v>
      </c>
      <c r="DI36" s="233">
        <f>DH36/DH37</f>
        <v>0.10126582278481013</v>
      </c>
      <c r="DK36" s="103">
        <v>12</v>
      </c>
      <c r="DL36" s="233">
        <f>DK36/DK37</f>
        <v>0.14457831325301204</v>
      </c>
      <c r="DM36" s="108">
        <v>8</v>
      </c>
      <c r="DN36" s="233">
        <f>DM36/DM37</f>
        <v>0.11594202898550725</v>
      </c>
    </row>
    <row r="37" spans="1:118" ht="41.25" customHeight="1" x14ac:dyDescent="0.2">
      <c r="A37" s="195"/>
      <c r="B37" s="69" t="s">
        <v>60</v>
      </c>
      <c r="C37" s="70">
        <v>203</v>
      </c>
      <c r="D37" s="249"/>
      <c r="E37" s="71"/>
      <c r="F37" s="70">
        <f>35+26</f>
        <v>61</v>
      </c>
      <c r="G37" s="249"/>
      <c r="H37" s="71"/>
      <c r="I37" s="70">
        <v>66</v>
      </c>
      <c r="J37" s="249"/>
      <c r="K37" s="71"/>
      <c r="L37" s="70">
        <v>43</v>
      </c>
      <c r="M37" s="249"/>
      <c r="N37" s="243"/>
      <c r="O37" s="70">
        <v>22</v>
      </c>
      <c r="P37" s="249"/>
      <c r="Q37" s="243"/>
      <c r="R37" s="70">
        <v>0</v>
      </c>
      <c r="S37" s="249"/>
      <c r="T37" s="243"/>
      <c r="U37" s="70">
        <v>67</v>
      </c>
      <c r="V37" s="249"/>
      <c r="W37" s="243"/>
      <c r="X37" s="70">
        <v>48</v>
      </c>
      <c r="Y37" s="249"/>
      <c r="Z37" s="243"/>
      <c r="AA37" s="70">
        <v>41</v>
      </c>
      <c r="AB37" s="249"/>
      <c r="AC37" s="243"/>
      <c r="AD37" s="70">
        <v>35</v>
      </c>
      <c r="AE37" s="249"/>
      <c r="AF37" s="243"/>
      <c r="AG37" s="70">
        <v>49</v>
      </c>
      <c r="AH37" s="249"/>
      <c r="AI37" s="243"/>
      <c r="AJ37" s="70">
        <v>35</v>
      </c>
      <c r="AK37" s="249"/>
      <c r="AL37" s="243"/>
      <c r="AM37" s="70">
        <v>4</v>
      </c>
      <c r="AN37" s="249"/>
      <c r="AO37" s="243"/>
      <c r="AP37" s="70">
        <v>37</v>
      </c>
      <c r="AQ37" s="249"/>
      <c r="AR37" s="199"/>
      <c r="AS37" s="70">
        <v>98</v>
      </c>
      <c r="AT37" s="249"/>
      <c r="AU37" s="243"/>
      <c r="AV37" s="70">
        <v>88</v>
      </c>
      <c r="AW37" s="249"/>
      <c r="AX37" s="243"/>
      <c r="AY37" s="70">
        <v>87</v>
      </c>
      <c r="AZ37" s="249"/>
      <c r="BA37" s="243"/>
      <c r="BB37" s="70">
        <v>83</v>
      </c>
      <c r="BC37" s="249"/>
      <c r="BD37" s="243"/>
      <c r="BE37" s="70">
        <v>111</v>
      </c>
      <c r="BF37" s="249"/>
      <c r="BG37" s="243"/>
      <c r="BH37" s="70">
        <v>71</v>
      </c>
      <c r="BI37" s="249"/>
      <c r="BJ37" s="243"/>
      <c r="BK37" s="70">
        <v>69</v>
      </c>
      <c r="BL37" s="249"/>
      <c r="BM37" s="243"/>
      <c r="BN37" s="70">
        <v>77</v>
      </c>
      <c r="BO37" s="249"/>
      <c r="BP37" s="243"/>
      <c r="BQ37" s="70">
        <v>85</v>
      </c>
      <c r="BR37" s="249"/>
      <c r="BS37" s="243"/>
      <c r="BT37" s="70">
        <f t="shared" si="0"/>
        <v>496</v>
      </c>
      <c r="BU37" s="70">
        <v>92</v>
      </c>
      <c r="BV37" s="234"/>
      <c r="BW37" s="199"/>
      <c r="BX37" s="70">
        <v>87</v>
      </c>
      <c r="BY37" s="234"/>
      <c r="BZ37" s="199"/>
      <c r="CA37" s="70">
        <v>75</v>
      </c>
      <c r="CB37" s="234"/>
      <c r="CC37" s="199"/>
      <c r="CD37" s="70">
        <v>86</v>
      </c>
      <c r="CE37" s="234"/>
      <c r="CF37" s="199"/>
      <c r="CG37" s="70">
        <v>74</v>
      </c>
      <c r="CH37" s="234"/>
      <c r="CI37" s="199"/>
      <c r="CJ37" s="70">
        <v>79</v>
      </c>
      <c r="CK37" s="234"/>
      <c r="CL37" s="199"/>
      <c r="CM37" s="70">
        <f t="shared" si="1"/>
        <v>493</v>
      </c>
      <c r="CN37" s="70">
        <v>46</v>
      </c>
      <c r="CO37" s="234"/>
      <c r="CP37" s="232"/>
      <c r="CQ37" s="70">
        <v>20</v>
      </c>
      <c r="CR37" s="234"/>
      <c r="CS37" s="232"/>
      <c r="CT37" s="70">
        <v>85</v>
      </c>
      <c r="CU37" s="234"/>
      <c r="CV37" s="232"/>
      <c r="CW37" s="70">
        <v>88</v>
      </c>
      <c r="CX37" s="220"/>
      <c r="CY37" s="232"/>
      <c r="CZ37" s="70">
        <v>73</v>
      </c>
      <c r="DA37" s="234"/>
      <c r="DB37" s="232"/>
      <c r="DC37" s="70">
        <v>87</v>
      </c>
      <c r="DD37" s="234"/>
      <c r="DF37" s="70">
        <f t="shared" si="2"/>
        <v>399</v>
      </c>
      <c r="DG37" s="268"/>
      <c r="DH37" s="70">
        <v>79</v>
      </c>
      <c r="DI37" s="234"/>
      <c r="DK37" s="103">
        <v>83</v>
      </c>
      <c r="DL37" s="234"/>
      <c r="DM37" s="108">
        <v>69</v>
      </c>
      <c r="DN37" s="234"/>
    </row>
    <row r="38" spans="1:118" ht="45.75" hidden="1" customHeight="1" x14ac:dyDescent="0.2">
      <c r="A38" s="195" t="s">
        <v>61</v>
      </c>
      <c r="B38" s="69" t="s">
        <v>62</v>
      </c>
      <c r="C38" s="70">
        <v>0</v>
      </c>
      <c r="D38" s="248">
        <v>0</v>
      </c>
      <c r="E38" s="71"/>
      <c r="F38" s="70">
        <v>0</v>
      </c>
      <c r="G38" s="248" t="s">
        <v>47</v>
      </c>
      <c r="H38" s="71"/>
      <c r="I38" s="70">
        <v>0</v>
      </c>
      <c r="J38" s="248" t="s">
        <v>47</v>
      </c>
      <c r="K38" s="71"/>
      <c r="L38" s="70">
        <v>0</v>
      </c>
      <c r="M38" s="248" t="s">
        <v>47</v>
      </c>
      <c r="N38" s="242"/>
      <c r="O38" s="70">
        <v>0</v>
      </c>
      <c r="P38" s="248" t="s">
        <v>47</v>
      </c>
      <c r="Q38" s="242"/>
      <c r="R38" s="70">
        <v>0</v>
      </c>
      <c r="S38" s="248" t="s">
        <v>47</v>
      </c>
      <c r="T38" s="242"/>
      <c r="U38" s="70">
        <v>0</v>
      </c>
      <c r="V38" s="248" t="s">
        <v>47</v>
      </c>
      <c r="W38" s="242"/>
      <c r="X38" s="70">
        <v>0</v>
      </c>
      <c r="Y38" s="248" t="s">
        <v>47</v>
      </c>
      <c r="Z38" s="242"/>
      <c r="AA38" s="70">
        <v>0</v>
      </c>
      <c r="AB38" s="248" t="s">
        <v>47</v>
      </c>
      <c r="AC38" s="242"/>
      <c r="AD38" s="70">
        <v>0</v>
      </c>
      <c r="AE38" s="248" t="s">
        <v>47</v>
      </c>
      <c r="AF38" s="242"/>
      <c r="AG38" s="70">
        <v>0</v>
      </c>
      <c r="AH38" s="248" t="s">
        <v>47</v>
      </c>
      <c r="AI38" s="242"/>
      <c r="AJ38" s="70">
        <v>0</v>
      </c>
      <c r="AK38" s="248" t="s">
        <v>47</v>
      </c>
      <c r="AL38" s="242"/>
      <c r="AM38" s="70" t="s">
        <v>47</v>
      </c>
      <c r="AN38" s="248" t="s">
        <v>47</v>
      </c>
      <c r="AO38" s="242"/>
      <c r="AP38" s="70" t="s">
        <v>47</v>
      </c>
      <c r="AQ38" s="248" t="s">
        <v>47</v>
      </c>
      <c r="AR38" s="242"/>
      <c r="AS38" s="70" t="s">
        <v>47</v>
      </c>
      <c r="AT38" s="248" t="s">
        <v>47</v>
      </c>
      <c r="AU38" s="242"/>
      <c r="AV38" s="70" t="s">
        <v>47</v>
      </c>
      <c r="AW38" s="248" t="s">
        <v>47</v>
      </c>
      <c r="AX38" s="242"/>
      <c r="AY38" s="70" t="s">
        <v>47</v>
      </c>
      <c r="AZ38" s="248" t="s">
        <v>47</v>
      </c>
      <c r="BA38" s="242"/>
      <c r="BB38" s="70" t="s">
        <v>47</v>
      </c>
      <c r="BC38" s="248" t="s">
        <v>47</v>
      </c>
      <c r="BD38" s="242"/>
      <c r="BE38" s="70"/>
      <c r="BF38" s="248" t="s">
        <v>47</v>
      </c>
      <c r="BG38" s="242"/>
      <c r="BH38" s="70"/>
      <c r="BI38" s="248" t="s">
        <v>47</v>
      </c>
      <c r="BJ38" s="242"/>
      <c r="BK38" s="70"/>
      <c r="BL38" s="248" t="s">
        <v>47</v>
      </c>
      <c r="BM38" s="242"/>
      <c r="BN38" s="70"/>
      <c r="BO38" s="248" t="s">
        <v>47</v>
      </c>
      <c r="BP38" s="242"/>
      <c r="BQ38" s="70"/>
      <c r="BR38" s="248" t="s">
        <v>47</v>
      </c>
      <c r="BS38" s="242"/>
      <c r="BT38" s="70" t="e">
        <f t="shared" si="0"/>
        <v>#VALUE!</v>
      </c>
      <c r="BU38" s="70"/>
      <c r="BV38" s="242"/>
      <c r="BW38" s="72"/>
      <c r="BX38" s="70"/>
      <c r="BY38" s="242"/>
      <c r="BZ38" s="72"/>
      <c r="CA38" s="70"/>
      <c r="CB38" s="242"/>
      <c r="CC38" s="72"/>
      <c r="CD38" s="70"/>
      <c r="CE38" s="242"/>
      <c r="CF38" s="72"/>
      <c r="CG38" s="70"/>
      <c r="CH38" s="242"/>
      <c r="CI38" s="72"/>
      <c r="CJ38" s="70"/>
      <c r="CK38" s="242"/>
      <c r="CL38" s="72"/>
      <c r="CM38" s="70">
        <f t="shared" si="1"/>
        <v>0</v>
      </c>
      <c r="DF38" s="70">
        <f t="shared" si="2"/>
        <v>0</v>
      </c>
      <c r="DG38" s="267" t="e">
        <f t="shared" ref="DG38" si="16">DF38/DF39</f>
        <v>#DIV/0!</v>
      </c>
    </row>
    <row r="39" spans="1:118" ht="46.5" hidden="1" customHeight="1" x14ac:dyDescent="0.2">
      <c r="A39" s="195"/>
      <c r="B39" s="69" t="s">
        <v>63</v>
      </c>
      <c r="C39" s="70">
        <v>0</v>
      </c>
      <c r="D39" s="249"/>
      <c r="E39" s="71"/>
      <c r="F39" s="70">
        <v>0</v>
      </c>
      <c r="G39" s="249"/>
      <c r="H39" s="71"/>
      <c r="I39" s="70">
        <v>0</v>
      </c>
      <c r="J39" s="249"/>
      <c r="K39" s="71"/>
      <c r="L39" s="70">
        <v>0</v>
      </c>
      <c r="M39" s="249"/>
      <c r="N39" s="243"/>
      <c r="O39" s="70">
        <v>0</v>
      </c>
      <c r="P39" s="249"/>
      <c r="Q39" s="243"/>
      <c r="R39" s="70">
        <v>0</v>
      </c>
      <c r="S39" s="249"/>
      <c r="T39" s="243"/>
      <c r="U39" s="70">
        <v>0</v>
      </c>
      <c r="V39" s="249"/>
      <c r="W39" s="243"/>
      <c r="X39" s="70">
        <v>0</v>
      </c>
      <c r="Y39" s="249"/>
      <c r="Z39" s="243"/>
      <c r="AA39" s="70">
        <v>0</v>
      </c>
      <c r="AB39" s="249"/>
      <c r="AC39" s="243"/>
      <c r="AD39" s="70">
        <v>0</v>
      </c>
      <c r="AE39" s="249"/>
      <c r="AF39" s="243"/>
      <c r="AG39" s="70">
        <v>0</v>
      </c>
      <c r="AH39" s="249"/>
      <c r="AI39" s="243"/>
      <c r="AJ39" s="70">
        <v>0</v>
      </c>
      <c r="AK39" s="249"/>
      <c r="AL39" s="243"/>
      <c r="AM39" s="70" t="s">
        <v>47</v>
      </c>
      <c r="AN39" s="249"/>
      <c r="AO39" s="243"/>
      <c r="AP39" s="70" t="s">
        <v>47</v>
      </c>
      <c r="AQ39" s="249"/>
      <c r="AR39" s="243"/>
      <c r="AS39" s="70" t="s">
        <v>47</v>
      </c>
      <c r="AT39" s="249"/>
      <c r="AU39" s="243"/>
      <c r="AV39" s="70" t="s">
        <v>47</v>
      </c>
      <c r="AW39" s="249"/>
      <c r="AX39" s="243"/>
      <c r="AY39" s="70" t="s">
        <v>47</v>
      </c>
      <c r="AZ39" s="249"/>
      <c r="BA39" s="243"/>
      <c r="BB39" s="70" t="s">
        <v>47</v>
      </c>
      <c r="BC39" s="249"/>
      <c r="BD39" s="243"/>
      <c r="BE39" s="70"/>
      <c r="BF39" s="249"/>
      <c r="BG39" s="243"/>
      <c r="BH39" s="70"/>
      <c r="BI39" s="249"/>
      <c r="BJ39" s="243"/>
      <c r="BK39" s="70"/>
      <c r="BL39" s="249"/>
      <c r="BM39" s="243"/>
      <c r="BN39" s="70"/>
      <c r="BO39" s="249"/>
      <c r="BP39" s="243"/>
      <c r="BQ39" s="70"/>
      <c r="BR39" s="249"/>
      <c r="BS39" s="243"/>
      <c r="BT39" s="70" t="e">
        <f t="shared" si="0"/>
        <v>#VALUE!</v>
      </c>
      <c r="BU39" s="70"/>
      <c r="BV39" s="243"/>
      <c r="BW39" s="72"/>
      <c r="BX39" s="70"/>
      <c r="BY39" s="243"/>
      <c r="BZ39" s="72"/>
      <c r="CA39" s="70"/>
      <c r="CB39" s="243"/>
      <c r="CC39" s="72"/>
      <c r="CD39" s="70"/>
      <c r="CE39" s="243"/>
      <c r="CF39" s="72"/>
      <c r="CG39" s="70"/>
      <c r="CH39" s="243"/>
      <c r="CI39" s="72"/>
      <c r="CJ39" s="70"/>
      <c r="CK39" s="243"/>
      <c r="CL39" s="72"/>
      <c r="CM39" s="70">
        <f t="shared" si="1"/>
        <v>0</v>
      </c>
      <c r="DF39" s="70">
        <f t="shared" si="2"/>
        <v>0</v>
      </c>
      <c r="DG39" s="268"/>
    </row>
    <row r="40" spans="1:118" ht="47.25" hidden="1" customHeight="1" x14ac:dyDescent="0.2">
      <c r="A40" s="195" t="s">
        <v>64</v>
      </c>
      <c r="B40" s="69" t="s">
        <v>65</v>
      </c>
      <c r="C40" s="70">
        <v>0</v>
      </c>
      <c r="D40" s="248">
        <v>0</v>
      </c>
      <c r="E40" s="71"/>
      <c r="F40" s="70">
        <v>0</v>
      </c>
      <c r="G40" s="248" t="s">
        <v>47</v>
      </c>
      <c r="H40" s="71"/>
      <c r="I40" s="70">
        <v>0</v>
      </c>
      <c r="J40" s="248" t="s">
        <v>47</v>
      </c>
      <c r="K40" s="71"/>
      <c r="L40" s="70">
        <v>0</v>
      </c>
      <c r="M40" s="248" t="s">
        <v>47</v>
      </c>
      <c r="N40" s="242"/>
      <c r="O40" s="70">
        <v>0</v>
      </c>
      <c r="P40" s="248" t="s">
        <v>47</v>
      </c>
      <c r="Q40" s="242"/>
      <c r="R40" s="70">
        <v>0</v>
      </c>
      <c r="S40" s="248" t="s">
        <v>47</v>
      </c>
      <c r="T40" s="242"/>
      <c r="U40" s="70">
        <v>0</v>
      </c>
      <c r="V40" s="248" t="s">
        <v>47</v>
      </c>
      <c r="W40" s="242"/>
      <c r="X40" s="70">
        <v>0</v>
      </c>
      <c r="Y40" s="248" t="s">
        <v>47</v>
      </c>
      <c r="Z40" s="242"/>
      <c r="AA40" s="70">
        <v>0</v>
      </c>
      <c r="AB40" s="248" t="s">
        <v>47</v>
      </c>
      <c r="AC40" s="242"/>
      <c r="AD40" s="70">
        <v>0</v>
      </c>
      <c r="AE40" s="248" t="s">
        <v>47</v>
      </c>
      <c r="AF40" s="242"/>
      <c r="AG40" s="70">
        <v>0</v>
      </c>
      <c r="AH40" s="248" t="s">
        <v>47</v>
      </c>
      <c r="AI40" s="242"/>
      <c r="AJ40" s="70">
        <v>0</v>
      </c>
      <c r="AK40" s="248" t="s">
        <v>47</v>
      </c>
      <c r="AL40" s="242"/>
      <c r="AM40" s="70" t="s">
        <v>47</v>
      </c>
      <c r="AN40" s="248" t="s">
        <v>47</v>
      </c>
      <c r="AO40" s="242"/>
      <c r="AP40" s="70" t="s">
        <v>47</v>
      </c>
      <c r="AQ40" s="248" t="s">
        <v>47</v>
      </c>
      <c r="AR40" s="242"/>
      <c r="AS40" s="70" t="s">
        <v>47</v>
      </c>
      <c r="AT40" s="248" t="s">
        <v>47</v>
      </c>
      <c r="AU40" s="242"/>
      <c r="AV40" s="70" t="s">
        <v>47</v>
      </c>
      <c r="AW40" s="248" t="s">
        <v>47</v>
      </c>
      <c r="AX40" s="242"/>
      <c r="AY40" s="70" t="s">
        <v>47</v>
      </c>
      <c r="AZ40" s="248" t="s">
        <v>47</v>
      </c>
      <c r="BA40" s="242"/>
      <c r="BB40" s="70" t="s">
        <v>47</v>
      </c>
      <c r="BC40" s="248" t="s">
        <v>47</v>
      </c>
      <c r="BD40" s="242"/>
      <c r="BE40" s="70"/>
      <c r="BF40" s="248" t="s">
        <v>47</v>
      </c>
      <c r="BG40" s="242"/>
      <c r="BH40" s="70"/>
      <c r="BI40" s="248" t="s">
        <v>47</v>
      </c>
      <c r="BJ40" s="242"/>
      <c r="BK40" s="70"/>
      <c r="BL40" s="248" t="s">
        <v>47</v>
      </c>
      <c r="BM40" s="242"/>
      <c r="BN40" s="70"/>
      <c r="BO40" s="248" t="s">
        <v>47</v>
      </c>
      <c r="BP40" s="242"/>
      <c r="BQ40" s="70"/>
      <c r="BR40" s="248" t="s">
        <v>47</v>
      </c>
      <c r="BS40" s="242"/>
      <c r="BT40" s="70" t="e">
        <f t="shared" si="0"/>
        <v>#VALUE!</v>
      </c>
      <c r="BU40" s="70"/>
      <c r="BV40" s="242"/>
      <c r="BW40" s="72"/>
      <c r="BX40" s="70"/>
      <c r="BY40" s="242"/>
      <c r="BZ40" s="72"/>
      <c r="CA40" s="70"/>
      <c r="CB40" s="242"/>
      <c r="CC40" s="72"/>
      <c r="CD40" s="70"/>
      <c r="CE40" s="242"/>
      <c r="CF40" s="72"/>
      <c r="CG40" s="70"/>
      <c r="CH40" s="242"/>
      <c r="CI40" s="72"/>
      <c r="CJ40" s="70"/>
      <c r="CK40" s="242"/>
      <c r="CL40" s="72"/>
      <c r="CM40" s="70">
        <f t="shared" si="1"/>
        <v>0</v>
      </c>
      <c r="DF40" s="70">
        <f t="shared" si="2"/>
        <v>0</v>
      </c>
      <c r="DG40" s="267" t="e">
        <f t="shared" ref="DG40" si="17">DF40/DF41</f>
        <v>#DIV/0!</v>
      </c>
    </row>
    <row r="41" spans="1:118" ht="50.25" hidden="1" customHeight="1" x14ac:dyDescent="0.2">
      <c r="A41" s="195"/>
      <c r="B41" s="69" t="s">
        <v>66</v>
      </c>
      <c r="C41" s="70">
        <v>0</v>
      </c>
      <c r="D41" s="249"/>
      <c r="E41" s="71"/>
      <c r="F41" s="70">
        <v>0</v>
      </c>
      <c r="G41" s="249"/>
      <c r="H41" s="71"/>
      <c r="I41" s="70">
        <v>0</v>
      </c>
      <c r="J41" s="249"/>
      <c r="K41" s="71"/>
      <c r="L41" s="70">
        <v>0</v>
      </c>
      <c r="M41" s="249"/>
      <c r="N41" s="243"/>
      <c r="O41" s="70">
        <v>0</v>
      </c>
      <c r="P41" s="249"/>
      <c r="Q41" s="243"/>
      <c r="R41" s="70">
        <v>0</v>
      </c>
      <c r="S41" s="249"/>
      <c r="T41" s="243"/>
      <c r="U41" s="70">
        <v>0</v>
      </c>
      <c r="V41" s="249"/>
      <c r="W41" s="243"/>
      <c r="X41" s="70">
        <v>0</v>
      </c>
      <c r="Y41" s="249"/>
      <c r="Z41" s="243"/>
      <c r="AA41" s="70">
        <v>0</v>
      </c>
      <c r="AB41" s="249"/>
      <c r="AC41" s="243"/>
      <c r="AD41" s="70">
        <v>0</v>
      </c>
      <c r="AE41" s="249"/>
      <c r="AF41" s="243"/>
      <c r="AG41" s="70">
        <v>0</v>
      </c>
      <c r="AH41" s="249"/>
      <c r="AI41" s="243"/>
      <c r="AJ41" s="70">
        <v>0</v>
      </c>
      <c r="AK41" s="249"/>
      <c r="AL41" s="243"/>
      <c r="AM41" s="70" t="s">
        <v>47</v>
      </c>
      <c r="AN41" s="249"/>
      <c r="AO41" s="243"/>
      <c r="AP41" s="70" t="s">
        <v>47</v>
      </c>
      <c r="AQ41" s="249"/>
      <c r="AR41" s="243"/>
      <c r="AS41" s="70" t="s">
        <v>47</v>
      </c>
      <c r="AT41" s="249"/>
      <c r="AU41" s="243"/>
      <c r="AV41" s="70" t="s">
        <v>47</v>
      </c>
      <c r="AW41" s="249"/>
      <c r="AX41" s="243"/>
      <c r="AY41" s="70" t="s">
        <v>47</v>
      </c>
      <c r="AZ41" s="249"/>
      <c r="BA41" s="243"/>
      <c r="BB41" s="70" t="s">
        <v>47</v>
      </c>
      <c r="BC41" s="249"/>
      <c r="BD41" s="243"/>
      <c r="BE41" s="70"/>
      <c r="BF41" s="249"/>
      <c r="BG41" s="243"/>
      <c r="BH41" s="70"/>
      <c r="BI41" s="249"/>
      <c r="BJ41" s="243"/>
      <c r="BK41" s="70"/>
      <c r="BL41" s="249"/>
      <c r="BM41" s="243"/>
      <c r="BN41" s="70"/>
      <c r="BO41" s="249"/>
      <c r="BP41" s="243"/>
      <c r="BQ41" s="70"/>
      <c r="BR41" s="249"/>
      <c r="BS41" s="243"/>
      <c r="BT41" s="70" t="e">
        <f t="shared" si="0"/>
        <v>#VALUE!</v>
      </c>
      <c r="BU41" s="70"/>
      <c r="BV41" s="243"/>
      <c r="BW41" s="72"/>
      <c r="BX41" s="70"/>
      <c r="BY41" s="243"/>
      <c r="BZ41" s="72"/>
      <c r="CA41" s="70"/>
      <c r="CB41" s="243"/>
      <c r="CC41" s="72"/>
      <c r="CD41" s="70"/>
      <c r="CE41" s="243"/>
      <c r="CF41" s="72"/>
      <c r="CG41" s="70"/>
      <c r="CH41" s="243"/>
      <c r="CI41" s="72"/>
      <c r="CJ41" s="70"/>
      <c r="CK41" s="243"/>
      <c r="CL41" s="72"/>
      <c r="CM41" s="70">
        <f t="shared" si="1"/>
        <v>0</v>
      </c>
      <c r="DF41" s="70">
        <f t="shared" si="2"/>
        <v>0</v>
      </c>
      <c r="DG41" s="268"/>
    </row>
    <row r="42" spans="1:118" ht="42" hidden="1" customHeight="1" x14ac:dyDescent="0.2">
      <c r="A42" s="195" t="s">
        <v>67</v>
      </c>
      <c r="B42" s="69" t="s">
        <v>68</v>
      </c>
      <c r="C42" s="70">
        <v>0</v>
      </c>
      <c r="D42" s="248">
        <v>0</v>
      </c>
      <c r="E42" s="71"/>
      <c r="F42" s="70">
        <v>0</v>
      </c>
      <c r="G42" s="248" t="s">
        <v>47</v>
      </c>
      <c r="H42" s="71"/>
      <c r="I42" s="70">
        <v>0</v>
      </c>
      <c r="J42" s="248" t="s">
        <v>47</v>
      </c>
      <c r="K42" s="71"/>
      <c r="L42" s="70">
        <v>0</v>
      </c>
      <c r="M42" s="248" t="s">
        <v>47</v>
      </c>
      <c r="N42" s="242"/>
      <c r="O42" s="70">
        <v>0</v>
      </c>
      <c r="P42" s="248" t="s">
        <v>47</v>
      </c>
      <c r="Q42" s="242"/>
      <c r="R42" s="70">
        <v>0</v>
      </c>
      <c r="S42" s="248" t="s">
        <v>47</v>
      </c>
      <c r="T42" s="242"/>
      <c r="U42" s="70">
        <v>0</v>
      </c>
      <c r="V42" s="248" t="s">
        <v>47</v>
      </c>
      <c r="W42" s="242"/>
      <c r="X42" s="70">
        <v>0</v>
      </c>
      <c r="Y42" s="248" t="s">
        <v>47</v>
      </c>
      <c r="Z42" s="242"/>
      <c r="AA42" s="70">
        <v>0</v>
      </c>
      <c r="AB42" s="248" t="s">
        <v>47</v>
      </c>
      <c r="AC42" s="242"/>
      <c r="AD42" s="70">
        <v>0</v>
      </c>
      <c r="AE42" s="248" t="s">
        <v>47</v>
      </c>
      <c r="AF42" s="242"/>
      <c r="AG42" s="70">
        <v>0</v>
      </c>
      <c r="AH42" s="248" t="s">
        <v>47</v>
      </c>
      <c r="AI42" s="242"/>
      <c r="AJ42" s="70">
        <v>0</v>
      </c>
      <c r="AK42" s="248" t="s">
        <v>47</v>
      </c>
      <c r="AL42" s="242"/>
      <c r="AM42" s="70" t="s">
        <v>47</v>
      </c>
      <c r="AN42" s="248" t="s">
        <v>47</v>
      </c>
      <c r="AO42" s="242"/>
      <c r="AP42" s="70" t="s">
        <v>47</v>
      </c>
      <c r="AQ42" s="248" t="s">
        <v>47</v>
      </c>
      <c r="AR42" s="242"/>
      <c r="AS42" s="70" t="s">
        <v>47</v>
      </c>
      <c r="AT42" s="248" t="s">
        <v>47</v>
      </c>
      <c r="AU42" s="242"/>
      <c r="AV42" s="70" t="s">
        <v>47</v>
      </c>
      <c r="AW42" s="248" t="s">
        <v>47</v>
      </c>
      <c r="AX42" s="242"/>
      <c r="AY42" s="70" t="s">
        <v>47</v>
      </c>
      <c r="AZ42" s="248" t="s">
        <v>47</v>
      </c>
      <c r="BA42" s="242"/>
      <c r="BB42" s="70" t="s">
        <v>47</v>
      </c>
      <c r="BC42" s="248" t="s">
        <v>47</v>
      </c>
      <c r="BD42" s="242"/>
      <c r="BE42" s="70"/>
      <c r="BF42" s="248" t="s">
        <v>47</v>
      </c>
      <c r="BG42" s="242"/>
      <c r="BH42" s="70"/>
      <c r="BI42" s="248" t="s">
        <v>47</v>
      </c>
      <c r="BJ42" s="242"/>
      <c r="BK42" s="70"/>
      <c r="BL42" s="248" t="s">
        <v>47</v>
      </c>
      <c r="BM42" s="242"/>
      <c r="BN42" s="70"/>
      <c r="BO42" s="248" t="s">
        <v>47</v>
      </c>
      <c r="BP42" s="242"/>
      <c r="BQ42" s="70"/>
      <c r="BR42" s="248" t="s">
        <v>47</v>
      </c>
      <c r="BS42" s="242"/>
      <c r="BT42" s="70" t="e">
        <f t="shared" si="0"/>
        <v>#VALUE!</v>
      </c>
      <c r="BU42" s="70"/>
      <c r="BV42" s="242"/>
      <c r="BW42" s="72"/>
      <c r="BX42" s="70"/>
      <c r="BY42" s="242"/>
      <c r="BZ42" s="72"/>
      <c r="CA42" s="70"/>
      <c r="CB42" s="242"/>
      <c r="CC42" s="72"/>
      <c r="CD42" s="70"/>
      <c r="CE42" s="242"/>
      <c r="CF42" s="72"/>
      <c r="CG42" s="70"/>
      <c r="CH42" s="242"/>
      <c r="CI42" s="72"/>
      <c r="CJ42" s="70"/>
      <c r="CK42" s="242"/>
      <c r="CL42" s="72"/>
      <c r="CM42" s="70">
        <f t="shared" si="1"/>
        <v>0</v>
      </c>
      <c r="DF42" s="70">
        <f t="shared" si="2"/>
        <v>0</v>
      </c>
      <c r="DG42" s="267" t="e">
        <f t="shared" ref="DG42" si="18">DF42/DF43</f>
        <v>#DIV/0!</v>
      </c>
    </row>
    <row r="43" spans="1:118" ht="33.75" hidden="1" customHeight="1" x14ac:dyDescent="0.2">
      <c r="A43" s="195"/>
      <c r="B43" s="69" t="s">
        <v>69</v>
      </c>
      <c r="C43" s="70">
        <v>0</v>
      </c>
      <c r="D43" s="249"/>
      <c r="E43" s="71"/>
      <c r="F43" s="70">
        <v>0</v>
      </c>
      <c r="G43" s="249"/>
      <c r="H43" s="71"/>
      <c r="I43" s="70">
        <v>0</v>
      </c>
      <c r="J43" s="249"/>
      <c r="K43" s="71"/>
      <c r="L43" s="70">
        <v>0</v>
      </c>
      <c r="M43" s="249"/>
      <c r="N43" s="243"/>
      <c r="O43" s="70">
        <v>0</v>
      </c>
      <c r="P43" s="249"/>
      <c r="Q43" s="243"/>
      <c r="R43" s="70">
        <v>0</v>
      </c>
      <c r="S43" s="249"/>
      <c r="T43" s="243"/>
      <c r="U43" s="70">
        <v>0</v>
      </c>
      <c r="V43" s="249"/>
      <c r="W43" s="243"/>
      <c r="X43" s="70">
        <v>0</v>
      </c>
      <c r="Y43" s="249"/>
      <c r="Z43" s="243"/>
      <c r="AA43" s="70">
        <v>0</v>
      </c>
      <c r="AB43" s="249"/>
      <c r="AC43" s="243"/>
      <c r="AD43" s="70">
        <v>0</v>
      </c>
      <c r="AE43" s="249"/>
      <c r="AF43" s="243"/>
      <c r="AG43" s="70">
        <v>0</v>
      </c>
      <c r="AH43" s="249"/>
      <c r="AI43" s="243"/>
      <c r="AJ43" s="70">
        <v>0</v>
      </c>
      <c r="AK43" s="249"/>
      <c r="AL43" s="243"/>
      <c r="AM43" s="70" t="s">
        <v>47</v>
      </c>
      <c r="AN43" s="249"/>
      <c r="AO43" s="243"/>
      <c r="AP43" s="70" t="s">
        <v>47</v>
      </c>
      <c r="AQ43" s="249"/>
      <c r="AR43" s="243"/>
      <c r="AS43" s="70" t="s">
        <v>47</v>
      </c>
      <c r="AT43" s="249"/>
      <c r="AU43" s="243"/>
      <c r="AV43" s="70" t="s">
        <v>47</v>
      </c>
      <c r="AW43" s="249"/>
      <c r="AX43" s="243"/>
      <c r="AY43" s="70" t="s">
        <v>47</v>
      </c>
      <c r="AZ43" s="249"/>
      <c r="BA43" s="243"/>
      <c r="BB43" s="70" t="s">
        <v>47</v>
      </c>
      <c r="BC43" s="249"/>
      <c r="BD43" s="243"/>
      <c r="BE43" s="70"/>
      <c r="BF43" s="249"/>
      <c r="BG43" s="243"/>
      <c r="BH43" s="70"/>
      <c r="BI43" s="249"/>
      <c r="BJ43" s="243"/>
      <c r="BK43" s="70"/>
      <c r="BL43" s="249"/>
      <c r="BM43" s="243"/>
      <c r="BN43" s="70"/>
      <c r="BO43" s="249"/>
      <c r="BP43" s="243"/>
      <c r="BQ43" s="70"/>
      <c r="BR43" s="249"/>
      <c r="BS43" s="243"/>
      <c r="BT43" s="70" t="e">
        <f t="shared" si="0"/>
        <v>#VALUE!</v>
      </c>
      <c r="BU43" s="70"/>
      <c r="BV43" s="243"/>
      <c r="BW43" s="72"/>
      <c r="BX43" s="70"/>
      <c r="BY43" s="243"/>
      <c r="BZ43" s="72"/>
      <c r="CA43" s="70"/>
      <c r="CB43" s="243"/>
      <c r="CC43" s="72"/>
      <c r="CD43" s="70"/>
      <c r="CE43" s="243"/>
      <c r="CF43" s="72"/>
      <c r="CG43" s="70"/>
      <c r="CH43" s="243"/>
      <c r="CI43" s="72"/>
      <c r="CJ43" s="70"/>
      <c r="CK43" s="243"/>
      <c r="CL43" s="72"/>
      <c r="CM43" s="70">
        <f t="shared" si="1"/>
        <v>0</v>
      </c>
      <c r="DF43" s="70">
        <f t="shared" si="2"/>
        <v>0</v>
      </c>
      <c r="DG43" s="268"/>
    </row>
    <row r="44" spans="1:118" ht="57.75" hidden="1" customHeight="1" x14ac:dyDescent="0.2">
      <c r="A44" s="195" t="s">
        <v>70</v>
      </c>
      <c r="B44" s="69" t="s">
        <v>71</v>
      </c>
      <c r="C44" s="70">
        <v>0</v>
      </c>
      <c r="D44" s="248">
        <v>0</v>
      </c>
      <c r="E44" s="71"/>
      <c r="F44" s="70">
        <v>0</v>
      </c>
      <c r="G44" s="248" t="s">
        <v>47</v>
      </c>
      <c r="H44" s="71"/>
      <c r="I44" s="70">
        <v>0</v>
      </c>
      <c r="J44" s="248" t="s">
        <v>47</v>
      </c>
      <c r="K44" s="71"/>
      <c r="L44" s="70">
        <v>0</v>
      </c>
      <c r="M44" s="248" t="s">
        <v>47</v>
      </c>
      <c r="N44" s="242"/>
      <c r="O44" s="70">
        <v>0</v>
      </c>
      <c r="P44" s="248" t="s">
        <v>47</v>
      </c>
      <c r="Q44" s="242"/>
      <c r="R44" s="70">
        <v>0</v>
      </c>
      <c r="S44" s="248" t="s">
        <v>47</v>
      </c>
      <c r="T44" s="242"/>
      <c r="U44" s="70">
        <v>0</v>
      </c>
      <c r="V44" s="248" t="s">
        <v>47</v>
      </c>
      <c r="W44" s="242"/>
      <c r="X44" s="70">
        <v>0</v>
      </c>
      <c r="Y44" s="248" t="s">
        <v>47</v>
      </c>
      <c r="Z44" s="242"/>
      <c r="AA44" s="70">
        <v>0</v>
      </c>
      <c r="AB44" s="248" t="s">
        <v>47</v>
      </c>
      <c r="AC44" s="242"/>
      <c r="AD44" s="70">
        <v>0</v>
      </c>
      <c r="AE44" s="248" t="s">
        <v>47</v>
      </c>
      <c r="AF44" s="242"/>
      <c r="AG44" s="70">
        <v>0</v>
      </c>
      <c r="AH44" s="248" t="s">
        <v>47</v>
      </c>
      <c r="AI44" s="242"/>
      <c r="AJ44" s="70">
        <v>0</v>
      </c>
      <c r="AK44" s="248" t="s">
        <v>47</v>
      </c>
      <c r="AL44" s="242"/>
      <c r="AM44" s="70" t="s">
        <v>47</v>
      </c>
      <c r="AN44" s="248" t="s">
        <v>47</v>
      </c>
      <c r="AO44" s="242"/>
      <c r="AP44" s="70" t="s">
        <v>47</v>
      </c>
      <c r="AQ44" s="248" t="s">
        <v>47</v>
      </c>
      <c r="AR44" s="242"/>
      <c r="AS44" s="70" t="s">
        <v>47</v>
      </c>
      <c r="AT44" s="248" t="s">
        <v>47</v>
      </c>
      <c r="AU44" s="242"/>
      <c r="AV44" s="70" t="s">
        <v>47</v>
      </c>
      <c r="AW44" s="248" t="s">
        <v>47</v>
      </c>
      <c r="AX44" s="242"/>
      <c r="AY44" s="70" t="s">
        <v>47</v>
      </c>
      <c r="AZ44" s="248" t="s">
        <v>47</v>
      </c>
      <c r="BA44" s="242"/>
      <c r="BB44" s="70" t="s">
        <v>47</v>
      </c>
      <c r="BC44" s="248" t="s">
        <v>47</v>
      </c>
      <c r="BD44" s="242"/>
      <c r="BE44" s="70"/>
      <c r="BF44" s="248" t="s">
        <v>47</v>
      </c>
      <c r="BG44" s="242"/>
      <c r="BH44" s="70"/>
      <c r="BI44" s="248" t="s">
        <v>47</v>
      </c>
      <c r="BJ44" s="242"/>
      <c r="BK44" s="70"/>
      <c r="BL44" s="248" t="s">
        <v>47</v>
      </c>
      <c r="BM44" s="242"/>
      <c r="BN44" s="70"/>
      <c r="BO44" s="248" t="s">
        <v>47</v>
      </c>
      <c r="BP44" s="242"/>
      <c r="BQ44" s="70"/>
      <c r="BR44" s="248" t="s">
        <v>47</v>
      </c>
      <c r="BS44" s="242"/>
      <c r="BT44" s="70" t="e">
        <f t="shared" si="0"/>
        <v>#VALUE!</v>
      </c>
      <c r="BU44" s="70"/>
      <c r="BV44" s="242"/>
      <c r="BW44" s="72"/>
      <c r="BX44" s="70"/>
      <c r="BY44" s="242"/>
      <c r="BZ44" s="72"/>
      <c r="CA44" s="70"/>
      <c r="CB44" s="242"/>
      <c r="CC44" s="72"/>
      <c r="CD44" s="70"/>
      <c r="CE44" s="242"/>
      <c r="CF44" s="72"/>
      <c r="CG44" s="70"/>
      <c r="CH44" s="242"/>
      <c r="CI44" s="72"/>
      <c r="CJ44" s="70"/>
      <c r="CK44" s="242"/>
      <c r="CL44" s="72"/>
      <c r="CM44" s="70">
        <f t="shared" si="1"/>
        <v>0</v>
      </c>
      <c r="DF44" s="70">
        <f t="shared" si="2"/>
        <v>0</v>
      </c>
      <c r="DG44" s="267" t="e">
        <f t="shared" ref="DG44" si="19">DF44/DF45</f>
        <v>#DIV/0!</v>
      </c>
    </row>
    <row r="45" spans="1:118" ht="36" hidden="1" customHeight="1" x14ac:dyDescent="0.2">
      <c r="A45" s="195"/>
      <c r="B45" s="69" t="s">
        <v>72</v>
      </c>
      <c r="C45" s="70">
        <v>0</v>
      </c>
      <c r="D45" s="249"/>
      <c r="E45" s="71"/>
      <c r="F45" s="70">
        <v>0</v>
      </c>
      <c r="G45" s="249"/>
      <c r="H45" s="71"/>
      <c r="I45" s="70">
        <v>0</v>
      </c>
      <c r="J45" s="249"/>
      <c r="K45" s="71"/>
      <c r="L45" s="70">
        <v>0</v>
      </c>
      <c r="M45" s="249"/>
      <c r="N45" s="243"/>
      <c r="O45" s="70">
        <v>0</v>
      </c>
      <c r="P45" s="249"/>
      <c r="Q45" s="243"/>
      <c r="R45" s="70">
        <v>0</v>
      </c>
      <c r="S45" s="249"/>
      <c r="T45" s="243"/>
      <c r="U45" s="70">
        <v>0</v>
      </c>
      <c r="V45" s="249"/>
      <c r="W45" s="243"/>
      <c r="X45" s="70">
        <v>0</v>
      </c>
      <c r="Y45" s="249"/>
      <c r="Z45" s="243"/>
      <c r="AA45" s="70">
        <v>0</v>
      </c>
      <c r="AB45" s="249"/>
      <c r="AC45" s="243"/>
      <c r="AD45" s="70">
        <v>0</v>
      </c>
      <c r="AE45" s="249"/>
      <c r="AF45" s="243"/>
      <c r="AG45" s="70">
        <v>0</v>
      </c>
      <c r="AH45" s="249"/>
      <c r="AI45" s="243"/>
      <c r="AJ45" s="70">
        <v>0</v>
      </c>
      <c r="AK45" s="249"/>
      <c r="AL45" s="243"/>
      <c r="AM45" s="70" t="s">
        <v>47</v>
      </c>
      <c r="AN45" s="249"/>
      <c r="AO45" s="243"/>
      <c r="AP45" s="70" t="s">
        <v>47</v>
      </c>
      <c r="AQ45" s="249"/>
      <c r="AR45" s="243"/>
      <c r="AS45" s="70" t="s">
        <v>47</v>
      </c>
      <c r="AT45" s="249"/>
      <c r="AU45" s="243"/>
      <c r="AV45" s="70" t="s">
        <v>47</v>
      </c>
      <c r="AW45" s="249"/>
      <c r="AX45" s="243"/>
      <c r="AY45" s="70" t="s">
        <v>47</v>
      </c>
      <c r="AZ45" s="249"/>
      <c r="BA45" s="243"/>
      <c r="BB45" s="70" t="s">
        <v>47</v>
      </c>
      <c r="BC45" s="249"/>
      <c r="BD45" s="243"/>
      <c r="BE45" s="70"/>
      <c r="BF45" s="249"/>
      <c r="BG45" s="243"/>
      <c r="BH45" s="70"/>
      <c r="BI45" s="249"/>
      <c r="BJ45" s="243"/>
      <c r="BK45" s="70"/>
      <c r="BL45" s="249"/>
      <c r="BM45" s="243"/>
      <c r="BN45" s="70"/>
      <c r="BO45" s="249"/>
      <c r="BP45" s="243"/>
      <c r="BQ45" s="70"/>
      <c r="BR45" s="249"/>
      <c r="BS45" s="243"/>
      <c r="BT45" s="70" t="e">
        <f t="shared" si="0"/>
        <v>#VALUE!</v>
      </c>
      <c r="BU45" s="70"/>
      <c r="BV45" s="243"/>
      <c r="BW45" s="72"/>
      <c r="BX45" s="70"/>
      <c r="BY45" s="243"/>
      <c r="BZ45" s="72"/>
      <c r="CA45" s="70"/>
      <c r="CB45" s="243"/>
      <c r="CC45" s="72"/>
      <c r="CD45" s="70"/>
      <c r="CE45" s="243"/>
      <c r="CF45" s="72"/>
      <c r="CG45" s="70"/>
      <c r="CH45" s="243"/>
      <c r="CI45" s="72"/>
      <c r="CJ45" s="70"/>
      <c r="CK45" s="243"/>
      <c r="CL45" s="72"/>
      <c r="CM45" s="70">
        <f t="shared" si="1"/>
        <v>0</v>
      </c>
      <c r="DF45" s="70">
        <f t="shared" si="2"/>
        <v>0</v>
      </c>
      <c r="DG45" s="268"/>
    </row>
    <row r="46" spans="1:118" ht="50.25" hidden="1" customHeight="1" x14ac:dyDescent="0.2">
      <c r="A46" s="195" t="s">
        <v>73</v>
      </c>
      <c r="B46" s="69" t="s">
        <v>74</v>
      </c>
      <c r="C46" s="70">
        <v>0</v>
      </c>
      <c r="D46" s="248">
        <v>0</v>
      </c>
      <c r="E46" s="71"/>
      <c r="F46" s="70">
        <v>0</v>
      </c>
      <c r="G46" s="248" t="s">
        <v>47</v>
      </c>
      <c r="H46" s="71"/>
      <c r="I46" s="70">
        <v>0</v>
      </c>
      <c r="J46" s="248" t="s">
        <v>47</v>
      </c>
      <c r="K46" s="71"/>
      <c r="L46" s="70">
        <v>0</v>
      </c>
      <c r="M46" s="248" t="s">
        <v>47</v>
      </c>
      <c r="N46" s="242"/>
      <c r="O46" s="70">
        <v>0</v>
      </c>
      <c r="P46" s="248" t="s">
        <v>47</v>
      </c>
      <c r="Q46" s="242"/>
      <c r="R46" s="70">
        <v>0</v>
      </c>
      <c r="S46" s="248" t="s">
        <v>47</v>
      </c>
      <c r="T46" s="242"/>
      <c r="U46" s="70">
        <v>0</v>
      </c>
      <c r="V46" s="248" t="s">
        <v>47</v>
      </c>
      <c r="W46" s="242"/>
      <c r="X46" s="70">
        <v>0</v>
      </c>
      <c r="Y46" s="248" t="s">
        <v>47</v>
      </c>
      <c r="Z46" s="242"/>
      <c r="AA46" s="70">
        <v>0</v>
      </c>
      <c r="AB46" s="248" t="s">
        <v>47</v>
      </c>
      <c r="AC46" s="242"/>
      <c r="AD46" s="70">
        <v>0</v>
      </c>
      <c r="AE46" s="248" t="s">
        <v>47</v>
      </c>
      <c r="AF46" s="242"/>
      <c r="AG46" s="70">
        <v>0</v>
      </c>
      <c r="AH46" s="248" t="s">
        <v>47</v>
      </c>
      <c r="AI46" s="242"/>
      <c r="AJ46" s="70">
        <v>0</v>
      </c>
      <c r="AK46" s="248" t="s">
        <v>47</v>
      </c>
      <c r="AL46" s="242"/>
      <c r="AM46" s="70" t="s">
        <v>47</v>
      </c>
      <c r="AN46" s="248" t="s">
        <v>47</v>
      </c>
      <c r="AO46" s="242"/>
      <c r="AP46" s="70" t="s">
        <v>47</v>
      </c>
      <c r="AQ46" s="248" t="s">
        <v>47</v>
      </c>
      <c r="AR46" s="242"/>
      <c r="AS46" s="70" t="s">
        <v>47</v>
      </c>
      <c r="AT46" s="248" t="s">
        <v>47</v>
      </c>
      <c r="AU46" s="242"/>
      <c r="AV46" s="70" t="s">
        <v>47</v>
      </c>
      <c r="AW46" s="248" t="s">
        <v>47</v>
      </c>
      <c r="AX46" s="242"/>
      <c r="AY46" s="70" t="s">
        <v>47</v>
      </c>
      <c r="AZ46" s="248" t="s">
        <v>47</v>
      </c>
      <c r="BA46" s="242"/>
      <c r="BB46" s="70" t="s">
        <v>47</v>
      </c>
      <c r="BC46" s="248" t="s">
        <v>47</v>
      </c>
      <c r="BD46" s="242"/>
      <c r="BE46" s="70"/>
      <c r="BF46" s="248" t="s">
        <v>47</v>
      </c>
      <c r="BG46" s="242"/>
      <c r="BH46" s="70"/>
      <c r="BI46" s="248" t="s">
        <v>47</v>
      </c>
      <c r="BJ46" s="242"/>
      <c r="BK46" s="70"/>
      <c r="BL46" s="248" t="s">
        <v>47</v>
      </c>
      <c r="BM46" s="242"/>
      <c r="BN46" s="70"/>
      <c r="BO46" s="248" t="s">
        <v>47</v>
      </c>
      <c r="BP46" s="242"/>
      <c r="BQ46" s="70"/>
      <c r="BR46" s="248" t="s">
        <v>47</v>
      </c>
      <c r="BS46" s="242"/>
      <c r="BT46" s="70" t="e">
        <f t="shared" si="0"/>
        <v>#VALUE!</v>
      </c>
      <c r="BU46" s="70"/>
      <c r="BV46" s="242"/>
      <c r="BW46" s="72"/>
      <c r="BX46" s="70"/>
      <c r="BY46" s="242"/>
      <c r="BZ46" s="72"/>
      <c r="CA46" s="70"/>
      <c r="CB46" s="242"/>
      <c r="CC46" s="72"/>
      <c r="CD46" s="70"/>
      <c r="CE46" s="242"/>
      <c r="CF46" s="72"/>
      <c r="CG46" s="70"/>
      <c r="CH46" s="242"/>
      <c r="CI46" s="72"/>
      <c r="CJ46" s="70"/>
      <c r="CK46" s="242"/>
      <c r="CL46" s="72"/>
      <c r="CM46" s="70">
        <f t="shared" si="1"/>
        <v>0</v>
      </c>
      <c r="DF46" s="70">
        <f t="shared" si="2"/>
        <v>0</v>
      </c>
      <c r="DG46" s="267" t="e">
        <f t="shared" ref="DG46" si="20">DF46/DF47</f>
        <v>#DIV/0!</v>
      </c>
    </row>
    <row r="47" spans="1:118" ht="26.25" hidden="1" customHeight="1" x14ac:dyDescent="0.2">
      <c r="A47" s="195"/>
      <c r="B47" s="69" t="s">
        <v>75</v>
      </c>
      <c r="C47" s="70">
        <v>0</v>
      </c>
      <c r="D47" s="249"/>
      <c r="E47" s="71"/>
      <c r="F47" s="70">
        <v>0</v>
      </c>
      <c r="G47" s="249"/>
      <c r="H47" s="71"/>
      <c r="I47" s="70">
        <v>0</v>
      </c>
      <c r="J47" s="249"/>
      <c r="K47" s="71"/>
      <c r="L47" s="70">
        <v>0</v>
      </c>
      <c r="M47" s="249"/>
      <c r="N47" s="243"/>
      <c r="O47" s="70">
        <v>0</v>
      </c>
      <c r="P47" s="249"/>
      <c r="Q47" s="243"/>
      <c r="R47" s="70">
        <v>0</v>
      </c>
      <c r="S47" s="249"/>
      <c r="T47" s="243"/>
      <c r="U47" s="70">
        <v>0</v>
      </c>
      <c r="V47" s="249"/>
      <c r="W47" s="243"/>
      <c r="X47" s="70">
        <v>0</v>
      </c>
      <c r="Y47" s="249"/>
      <c r="Z47" s="243"/>
      <c r="AA47" s="70">
        <v>0</v>
      </c>
      <c r="AB47" s="249"/>
      <c r="AC47" s="243"/>
      <c r="AD47" s="70">
        <v>0</v>
      </c>
      <c r="AE47" s="249"/>
      <c r="AF47" s="243"/>
      <c r="AG47" s="70">
        <v>0</v>
      </c>
      <c r="AH47" s="249"/>
      <c r="AI47" s="243"/>
      <c r="AJ47" s="70">
        <v>0</v>
      </c>
      <c r="AK47" s="249"/>
      <c r="AL47" s="243"/>
      <c r="AM47" s="70" t="s">
        <v>47</v>
      </c>
      <c r="AN47" s="249"/>
      <c r="AO47" s="243"/>
      <c r="AP47" s="70" t="s">
        <v>47</v>
      </c>
      <c r="AQ47" s="249"/>
      <c r="AR47" s="243"/>
      <c r="AS47" s="70" t="s">
        <v>47</v>
      </c>
      <c r="AT47" s="249"/>
      <c r="AU47" s="243"/>
      <c r="AV47" s="70" t="s">
        <v>47</v>
      </c>
      <c r="AW47" s="249"/>
      <c r="AX47" s="243"/>
      <c r="AY47" s="70" t="s">
        <v>47</v>
      </c>
      <c r="AZ47" s="249"/>
      <c r="BA47" s="243"/>
      <c r="BB47" s="70" t="s">
        <v>47</v>
      </c>
      <c r="BC47" s="249"/>
      <c r="BD47" s="243"/>
      <c r="BE47" s="70"/>
      <c r="BF47" s="249"/>
      <c r="BG47" s="243"/>
      <c r="BH47" s="70"/>
      <c r="BI47" s="249"/>
      <c r="BJ47" s="243"/>
      <c r="BK47" s="70"/>
      <c r="BL47" s="249"/>
      <c r="BM47" s="243"/>
      <c r="BN47" s="70"/>
      <c r="BO47" s="249"/>
      <c r="BP47" s="243"/>
      <c r="BQ47" s="70"/>
      <c r="BR47" s="249"/>
      <c r="BS47" s="243"/>
      <c r="BT47" s="70" t="e">
        <f t="shared" si="0"/>
        <v>#VALUE!</v>
      </c>
      <c r="BU47" s="70"/>
      <c r="BV47" s="243"/>
      <c r="BW47" s="72"/>
      <c r="BX47" s="70"/>
      <c r="BY47" s="243"/>
      <c r="BZ47" s="72"/>
      <c r="CA47" s="70"/>
      <c r="CB47" s="243"/>
      <c r="CC47" s="72"/>
      <c r="CD47" s="70"/>
      <c r="CE47" s="243"/>
      <c r="CF47" s="72"/>
      <c r="CG47" s="70"/>
      <c r="CH47" s="243"/>
      <c r="CI47" s="72"/>
      <c r="CJ47" s="70"/>
      <c r="CK47" s="243"/>
      <c r="CL47" s="72"/>
      <c r="CM47" s="70">
        <f t="shared" si="1"/>
        <v>0</v>
      </c>
      <c r="DF47" s="70">
        <f t="shared" si="2"/>
        <v>0</v>
      </c>
      <c r="DG47" s="268"/>
    </row>
    <row r="48" spans="1:118" ht="67.5" hidden="1" customHeight="1" x14ac:dyDescent="0.2">
      <c r="A48" s="195" t="s">
        <v>76</v>
      </c>
      <c r="B48" s="69" t="s">
        <v>77</v>
      </c>
      <c r="C48" s="70">
        <v>0</v>
      </c>
      <c r="D48" s="248">
        <v>0</v>
      </c>
      <c r="E48" s="71"/>
      <c r="F48" s="70">
        <v>0</v>
      </c>
      <c r="G48" s="248">
        <v>0</v>
      </c>
      <c r="H48" s="71"/>
      <c r="I48" s="70">
        <v>0</v>
      </c>
      <c r="J48" s="248">
        <v>0</v>
      </c>
      <c r="K48" s="71"/>
      <c r="L48" s="70">
        <v>0</v>
      </c>
      <c r="M48" s="248">
        <v>0</v>
      </c>
      <c r="N48" s="242"/>
      <c r="O48" s="70">
        <v>0</v>
      </c>
      <c r="P48" s="248">
        <v>0</v>
      </c>
      <c r="Q48" s="242"/>
      <c r="R48" s="70">
        <v>0</v>
      </c>
      <c r="S48" s="248">
        <v>0</v>
      </c>
      <c r="T48" s="242"/>
      <c r="U48" s="70">
        <v>0</v>
      </c>
      <c r="V48" s="248">
        <v>0</v>
      </c>
      <c r="W48" s="242"/>
      <c r="X48" s="70">
        <v>0</v>
      </c>
      <c r="Y48" s="248">
        <v>0</v>
      </c>
      <c r="Z48" s="242"/>
      <c r="AA48" s="70">
        <v>0</v>
      </c>
      <c r="AB48" s="248">
        <v>0</v>
      </c>
      <c r="AC48" s="242"/>
      <c r="AD48" s="70">
        <v>0</v>
      </c>
      <c r="AE48" s="248">
        <v>0</v>
      </c>
      <c r="AF48" s="242"/>
      <c r="AG48" s="70">
        <v>0</v>
      </c>
      <c r="AH48" s="248">
        <v>0</v>
      </c>
      <c r="AI48" s="242"/>
      <c r="AJ48" s="70">
        <v>0</v>
      </c>
      <c r="AK48" s="248">
        <v>0</v>
      </c>
      <c r="AL48" s="242"/>
      <c r="AM48" s="70">
        <v>0</v>
      </c>
      <c r="AN48" s="248">
        <v>0</v>
      </c>
      <c r="AO48" s="242"/>
      <c r="AP48" s="70">
        <v>0</v>
      </c>
      <c r="AQ48" s="248">
        <v>0</v>
      </c>
      <c r="AR48" s="242"/>
      <c r="AS48" s="70">
        <v>0</v>
      </c>
      <c r="AT48" s="248">
        <v>0</v>
      </c>
      <c r="AU48" s="242"/>
      <c r="AV48" s="70">
        <v>0</v>
      </c>
      <c r="AW48" s="248">
        <v>0</v>
      </c>
      <c r="AX48" s="242"/>
      <c r="AY48" s="70">
        <v>0</v>
      </c>
      <c r="AZ48" s="248">
        <v>0</v>
      </c>
      <c r="BA48" s="242"/>
      <c r="BB48" s="70">
        <v>0</v>
      </c>
      <c r="BC48" s="248">
        <v>0</v>
      </c>
      <c r="BD48" s="198" t="s">
        <v>213</v>
      </c>
      <c r="BE48" s="70">
        <v>0</v>
      </c>
      <c r="BF48" s="248">
        <v>0</v>
      </c>
      <c r="BG48" s="198" t="s">
        <v>213</v>
      </c>
      <c r="BH48" s="70">
        <v>0</v>
      </c>
      <c r="BI48" s="248">
        <v>0</v>
      </c>
      <c r="BJ48" s="198" t="s">
        <v>213</v>
      </c>
      <c r="BK48" s="70">
        <v>0</v>
      </c>
      <c r="BL48" s="248">
        <v>0</v>
      </c>
      <c r="BM48" s="198" t="s">
        <v>213</v>
      </c>
      <c r="BN48" s="70">
        <v>0</v>
      </c>
      <c r="BO48" s="248">
        <v>0</v>
      </c>
      <c r="BP48" s="198" t="s">
        <v>213</v>
      </c>
      <c r="BQ48" s="70">
        <v>0</v>
      </c>
      <c r="BR48" s="248">
        <v>0</v>
      </c>
      <c r="BS48" s="198" t="s">
        <v>213</v>
      </c>
      <c r="BT48" s="70">
        <f t="shared" si="0"/>
        <v>0</v>
      </c>
      <c r="BU48" s="70">
        <v>0</v>
      </c>
      <c r="BV48" s="242">
        <v>0</v>
      </c>
      <c r="BW48" s="73" t="s">
        <v>226</v>
      </c>
      <c r="BX48" s="70">
        <v>0</v>
      </c>
      <c r="BY48" s="242">
        <v>0</v>
      </c>
      <c r="BZ48" s="73" t="s">
        <v>226</v>
      </c>
      <c r="CA48" s="70">
        <v>0</v>
      </c>
      <c r="CB48" s="242">
        <v>0</v>
      </c>
      <c r="CC48" s="73" t="s">
        <v>226</v>
      </c>
      <c r="CD48" s="70">
        <v>0</v>
      </c>
      <c r="CE48" s="242">
        <v>0</v>
      </c>
      <c r="CF48" s="73" t="s">
        <v>226</v>
      </c>
      <c r="CG48" s="70">
        <v>0</v>
      </c>
      <c r="CH48" s="242">
        <v>0</v>
      </c>
      <c r="CI48" s="73" t="s">
        <v>226</v>
      </c>
      <c r="CJ48" s="70">
        <v>0</v>
      </c>
      <c r="CK48" s="242">
        <v>0</v>
      </c>
      <c r="CL48" s="73" t="s">
        <v>226</v>
      </c>
      <c r="CM48" s="70">
        <f t="shared" si="1"/>
        <v>0</v>
      </c>
      <c r="CN48" s="70">
        <v>0</v>
      </c>
      <c r="CO48" s="233">
        <v>0</v>
      </c>
      <c r="CP48" s="232">
        <v>0</v>
      </c>
      <c r="CQ48" s="70">
        <v>0</v>
      </c>
      <c r="CR48" s="233">
        <v>0</v>
      </c>
      <c r="CS48" s="232">
        <v>0</v>
      </c>
      <c r="CT48" s="70">
        <v>0</v>
      </c>
      <c r="CU48" s="233">
        <v>0</v>
      </c>
      <c r="CV48" s="232">
        <v>0</v>
      </c>
      <c r="CW48" s="70"/>
      <c r="CX48" s="233">
        <v>0</v>
      </c>
      <c r="CY48" s="232"/>
      <c r="CZ48" s="70"/>
      <c r="DA48" s="233">
        <v>0</v>
      </c>
      <c r="DB48" s="232"/>
      <c r="DC48" s="70"/>
      <c r="DF48" s="70">
        <f t="shared" si="2"/>
        <v>0</v>
      </c>
      <c r="DG48" s="267" t="e">
        <f t="shared" ref="DG48" si="21">DF48/DF49</f>
        <v>#DIV/0!</v>
      </c>
      <c r="DH48" s="70"/>
      <c r="DK48" s="103"/>
      <c r="DM48" s="108"/>
    </row>
    <row r="49" spans="1:118" ht="50.25" hidden="1" customHeight="1" x14ac:dyDescent="0.2">
      <c r="A49" s="195"/>
      <c r="B49" s="69" t="s">
        <v>78</v>
      </c>
      <c r="C49" s="70">
        <v>0</v>
      </c>
      <c r="D49" s="249"/>
      <c r="E49" s="71"/>
      <c r="F49" s="70">
        <v>0</v>
      </c>
      <c r="G49" s="249"/>
      <c r="H49" s="71"/>
      <c r="I49" s="70">
        <v>0</v>
      </c>
      <c r="J49" s="249"/>
      <c r="K49" s="71"/>
      <c r="L49" s="70">
        <v>0</v>
      </c>
      <c r="M49" s="249"/>
      <c r="N49" s="243"/>
      <c r="O49" s="70">
        <v>0</v>
      </c>
      <c r="P49" s="249"/>
      <c r="Q49" s="243"/>
      <c r="R49" s="70">
        <v>0</v>
      </c>
      <c r="S49" s="249"/>
      <c r="T49" s="243"/>
      <c r="U49" s="70">
        <v>0</v>
      </c>
      <c r="V49" s="249"/>
      <c r="W49" s="243"/>
      <c r="X49" s="70">
        <v>0</v>
      </c>
      <c r="Y49" s="249"/>
      <c r="Z49" s="243"/>
      <c r="AA49" s="70">
        <v>0</v>
      </c>
      <c r="AB49" s="249"/>
      <c r="AC49" s="243"/>
      <c r="AD49" s="70">
        <v>0</v>
      </c>
      <c r="AE49" s="249"/>
      <c r="AF49" s="243"/>
      <c r="AG49" s="70">
        <v>0</v>
      </c>
      <c r="AH49" s="249"/>
      <c r="AI49" s="243"/>
      <c r="AJ49" s="70">
        <v>0</v>
      </c>
      <c r="AK49" s="249"/>
      <c r="AL49" s="243"/>
      <c r="AM49" s="70">
        <v>0</v>
      </c>
      <c r="AN49" s="249"/>
      <c r="AO49" s="243"/>
      <c r="AP49" s="70">
        <v>0</v>
      </c>
      <c r="AQ49" s="249"/>
      <c r="AR49" s="243"/>
      <c r="AS49" s="70">
        <v>0</v>
      </c>
      <c r="AT49" s="249"/>
      <c r="AU49" s="243"/>
      <c r="AV49" s="70">
        <v>0</v>
      </c>
      <c r="AW49" s="249"/>
      <c r="AX49" s="243"/>
      <c r="AY49" s="70">
        <v>0</v>
      </c>
      <c r="AZ49" s="249"/>
      <c r="BA49" s="243"/>
      <c r="BB49" s="70">
        <v>0</v>
      </c>
      <c r="BC49" s="249"/>
      <c r="BD49" s="199"/>
      <c r="BE49" s="70">
        <v>0</v>
      </c>
      <c r="BF49" s="249"/>
      <c r="BG49" s="199"/>
      <c r="BH49" s="70">
        <v>0</v>
      </c>
      <c r="BI49" s="249"/>
      <c r="BJ49" s="199"/>
      <c r="BK49" s="70">
        <v>0</v>
      </c>
      <c r="BL49" s="249"/>
      <c r="BM49" s="199"/>
      <c r="BN49" s="70">
        <v>0</v>
      </c>
      <c r="BO49" s="249"/>
      <c r="BP49" s="199"/>
      <c r="BQ49" s="70">
        <v>0</v>
      </c>
      <c r="BR49" s="249"/>
      <c r="BS49" s="199"/>
      <c r="BT49" s="70">
        <f t="shared" si="0"/>
        <v>0</v>
      </c>
      <c r="BU49" s="70">
        <v>0</v>
      </c>
      <c r="BV49" s="243"/>
      <c r="BW49" s="73" t="s">
        <v>226</v>
      </c>
      <c r="BX49" s="70">
        <v>0</v>
      </c>
      <c r="BY49" s="243"/>
      <c r="BZ49" s="73" t="s">
        <v>226</v>
      </c>
      <c r="CA49" s="70">
        <v>0</v>
      </c>
      <c r="CB49" s="243"/>
      <c r="CC49" s="73" t="s">
        <v>226</v>
      </c>
      <c r="CD49" s="70">
        <v>0</v>
      </c>
      <c r="CE49" s="243"/>
      <c r="CF49" s="73" t="s">
        <v>226</v>
      </c>
      <c r="CG49" s="70">
        <v>0</v>
      </c>
      <c r="CH49" s="243"/>
      <c r="CI49" s="73" t="s">
        <v>226</v>
      </c>
      <c r="CJ49" s="70">
        <v>0</v>
      </c>
      <c r="CK49" s="243"/>
      <c r="CL49" s="73" t="s">
        <v>226</v>
      </c>
      <c r="CM49" s="70">
        <f t="shared" si="1"/>
        <v>0</v>
      </c>
      <c r="CN49" s="70">
        <v>0</v>
      </c>
      <c r="CO49" s="234"/>
      <c r="CP49" s="232"/>
      <c r="CQ49" s="70">
        <v>0</v>
      </c>
      <c r="CR49" s="234"/>
      <c r="CS49" s="232"/>
      <c r="CT49" s="70">
        <v>0</v>
      </c>
      <c r="CU49" s="234"/>
      <c r="CV49" s="232"/>
      <c r="CW49" s="70"/>
      <c r="CX49" s="234"/>
      <c r="CY49" s="232"/>
      <c r="CZ49" s="70"/>
      <c r="DA49" s="234"/>
      <c r="DB49" s="232"/>
      <c r="DC49" s="70"/>
      <c r="DF49" s="70">
        <f t="shared" si="2"/>
        <v>0</v>
      </c>
      <c r="DG49" s="268"/>
      <c r="DH49" s="70"/>
      <c r="DK49" s="103"/>
      <c r="DM49" s="108"/>
    </row>
    <row r="50" spans="1:118" ht="44.25" hidden="1" customHeight="1" x14ac:dyDescent="0.2">
      <c r="A50" s="195" t="s">
        <v>79</v>
      </c>
      <c r="B50" s="69" t="s">
        <v>80</v>
      </c>
      <c r="C50" s="70">
        <v>0</v>
      </c>
      <c r="D50" s="248">
        <v>0</v>
      </c>
      <c r="E50" s="71"/>
      <c r="F50" s="70">
        <v>0</v>
      </c>
      <c r="G50" s="248">
        <v>0</v>
      </c>
      <c r="H50" s="71"/>
      <c r="I50" s="70">
        <v>0</v>
      </c>
      <c r="J50" s="248">
        <v>0</v>
      </c>
      <c r="K50" s="71"/>
      <c r="L50" s="70">
        <v>0</v>
      </c>
      <c r="M50" s="248">
        <v>0</v>
      </c>
      <c r="N50" s="242"/>
      <c r="O50" s="70">
        <v>0</v>
      </c>
      <c r="P50" s="248">
        <v>0</v>
      </c>
      <c r="Q50" s="242"/>
      <c r="R50" s="70">
        <v>0</v>
      </c>
      <c r="S50" s="248">
        <v>0</v>
      </c>
      <c r="T50" s="242"/>
      <c r="U50" s="70">
        <v>0</v>
      </c>
      <c r="V50" s="248">
        <v>0</v>
      </c>
      <c r="W50" s="242"/>
      <c r="X50" s="70">
        <v>0</v>
      </c>
      <c r="Y50" s="248">
        <v>0</v>
      </c>
      <c r="Z50" s="242"/>
      <c r="AA50" s="70">
        <v>0</v>
      </c>
      <c r="AB50" s="248">
        <v>0</v>
      </c>
      <c r="AC50" s="242"/>
      <c r="AD50" s="70">
        <v>0</v>
      </c>
      <c r="AE50" s="248">
        <v>0</v>
      </c>
      <c r="AF50" s="242"/>
      <c r="AG50" s="70">
        <v>0</v>
      </c>
      <c r="AH50" s="248">
        <v>0</v>
      </c>
      <c r="AI50" s="242"/>
      <c r="AJ50" s="70">
        <v>0</v>
      </c>
      <c r="AK50" s="248">
        <v>0</v>
      </c>
      <c r="AL50" s="242"/>
      <c r="AM50" s="70">
        <v>0</v>
      </c>
      <c r="AN50" s="248">
        <v>0</v>
      </c>
      <c r="AO50" s="242"/>
      <c r="AP50" s="70">
        <v>0</v>
      </c>
      <c r="AQ50" s="248">
        <v>0</v>
      </c>
      <c r="AR50" s="242"/>
      <c r="AS50" s="70">
        <v>0</v>
      </c>
      <c r="AT50" s="248">
        <v>0</v>
      </c>
      <c r="AU50" s="242"/>
      <c r="AV50" s="70">
        <v>0</v>
      </c>
      <c r="AW50" s="248">
        <v>0</v>
      </c>
      <c r="AX50" s="242"/>
      <c r="AY50" s="70">
        <v>0</v>
      </c>
      <c r="AZ50" s="248">
        <v>0</v>
      </c>
      <c r="BA50" s="242"/>
      <c r="BB50" s="70">
        <v>0</v>
      </c>
      <c r="BC50" s="248">
        <v>0</v>
      </c>
      <c r="BD50" s="198" t="s">
        <v>213</v>
      </c>
      <c r="BE50" s="70">
        <v>0</v>
      </c>
      <c r="BF50" s="248">
        <v>0</v>
      </c>
      <c r="BG50" s="198" t="s">
        <v>213</v>
      </c>
      <c r="BH50" s="70">
        <v>0</v>
      </c>
      <c r="BI50" s="248">
        <v>0</v>
      </c>
      <c r="BJ50" s="198" t="s">
        <v>213</v>
      </c>
      <c r="BK50" s="70">
        <v>0</v>
      </c>
      <c r="BL50" s="248">
        <v>0</v>
      </c>
      <c r="BM50" s="198" t="s">
        <v>213</v>
      </c>
      <c r="BN50" s="70">
        <v>0</v>
      </c>
      <c r="BO50" s="248">
        <v>0</v>
      </c>
      <c r="BP50" s="198" t="s">
        <v>213</v>
      </c>
      <c r="BQ50" s="70">
        <v>0</v>
      </c>
      <c r="BR50" s="248">
        <v>0</v>
      </c>
      <c r="BS50" s="198" t="s">
        <v>213</v>
      </c>
      <c r="BT50" s="70">
        <f t="shared" si="0"/>
        <v>0</v>
      </c>
      <c r="BU50" s="70">
        <v>0</v>
      </c>
      <c r="BV50" s="242">
        <v>0</v>
      </c>
      <c r="BW50" s="73" t="s">
        <v>226</v>
      </c>
      <c r="BX50" s="70">
        <v>0</v>
      </c>
      <c r="BY50" s="242">
        <v>0</v>
      </c>
      <c r="BZ50" s="73" t="s">
        <v>226</v>
      </c>
      <c r="CA50" s="70">
        <v>0</v>
      </c>
      <c r="CB50" s="242">
        <v>0</v>
      </c>
      <c r="CC50" s="73" t="s">
        <v>226</v>
      </c>
      <c r="CD50" s="70">
        <v>0</v>
      </c>
      <c r="CE50" s="242">
        <v>0</v>
      </c>
      <c r="CF50" s="73" t="s">
        <v>226</v>
      </c>
      <c r="CG50" s="70">
        <v>0</v>
      </c>
      <c r="CH50" s="242">
        <v>0</v>
      </c>
      <c r="CI50" s="73" t="s">
        <v>226</v>
      </c>
      <c r="CJ50" s="70">
        <v>0</v>
      </c>
      <c r="CK50" s="242">
        <v>0</v>
      </c>
      <c r="CL50" s="73" t="s">
        <v>226</v>
      </c>
      <c r="CM50" s="70">
        <f t="shared" si="1"/>
        <v>0</v>
      </c>
      <c r="DF50" s="70">
        <f t="shared" si="2"/>
        <v>0</v>
      </c>
      <c r="DG50" s="267" t="e">
        <f t="shared" ref="DG50" si="22">DF50/DF51</f>
        <v>#DIV/0!</v>
      </c>
    </row>
    <row r="51" spans="1:118" ht="41.25" hidden="1" customHeight="1" x14ac:dyDescent="0.2">
      <c r="A51" s="195"/>
      <c r="B51" s="69" t="s">
        <v>81</v>
      </c>
      <c r="C51" s="70">
        <v>0</v>
      </c>
      <c r="D51" s="249"/>
      <c r="E51" s="71"/>
      <c r="F51" s="70">
        <v>0</v>
      </c>
      <c r="G51" s="249"/>
      <c r="H51" s="71"/>
      <c r="I51" s="70">
        <v>0</v>
      </c>
      <c r="J51" s="249"/>
      <c r="K51" s="71"/>
      <c r="L51" s="70">
        <v>0</v>
      </c>
      <c r="M51" s="249"/>
      <c r="N51" s="243"/>
      <c r="O51" s="70">
        <v>0</v>
      </c>
      <c r="P51" s="249"/>
      <c r="Q51" s="243"/>
      <c r="R51" s="70">
        <v>0</v>
      </c>
      <c r="S51" s="249"/>
      <c r="T51" s="243"/>
      <c r="U51" s="70">
        <v>0</v>
      </c>
      <c r="V51" s="249"/>
      <c r="W51" s="243"/>
      <c r="X51" s="70">
        <v>0</v>
      </c>
      <c r="Y51" s="249"/>
      <c r="Z51" s="243"/>
      <c r="AA51" s="70">
        <v>0</v>
      </c>
      <c r="AB51" s="249"/>
      <c r="AC51" s="243"/>
      <c r="AD51" s="70">
        <v>0</v>
      </c>
      <c r="AE51" s="249"/>
      <c r="AF51" s="243"/>
      <c r="AG51" s="70">
        <v>0</v>
      </c>
      <c r="AH51" s="249"/>
      <c r="AI51" s="243"/>
      <c r="AJ51" s="70">
        <v>0</v>
      </c>
      <c r="AK51" s="249"/>
      <c r="AL51" s="243"/>
      <c r="AM51" s="70">
        <v>0</v>
      </c>
      <c r="AN51" s="249"/>
      <c r="AO51" s="243"/>
      <c r="AP51" s="70">
        <v>0</v>
      </c>
      <c r="AQ51" s="249"/>
      <c r="AR51" s="243"/>
      <c r="AS51" s="70">
        <v>0</v>
      </c>
      <c r="AT51" s="249"/>
      <c r="AU51" s="243"/>
      <c r="AV51" s="70">
        <v>0</v>
      </c>
      <c r="AW51" s="249"/>
      <c r="AX51" s="243"/>
      <c r="AY51" s="70">
        <v>0</v>
      </c>
      <c r="AZ51" s="249"/>
      <c r="BA51" s="243"/>
      <c r="BB51" s="70">
        <v>0</v>
      </c>
      <c r="BC51" s="249"/>
      <c r="BD51" s="199"/>
      <c r="BE51" s="70">
        <v>0</v>
      </c>
      <c r="BF51" s="249"/>
      <c r="BG51" s="199"/>
      <c r="BH51" s="70">
        <v>0</v>
      </c>
      <c r="BI51" s="249"/>
      <c r="BJ51" s="199"/>
      <c r="BK51" s="70">
        <v>0</v>
      </c>
      <c r="BL51" s="249"/>
      <c r="BM51" s="199"/>
      <c r="BN51" s="70">
        <v>0</v>
      </c>
      <c r="BO51" s="249"/>
      <c r="BP51" s="199"/>
      <c r="BQ51" s="70">
        <v>0</v>
      </c>
      <c r="BR51" s="249"/>
      <c r="BS51" s="199"/>
      <c r="BT51" s="70">
        <f t="shared" si="0"/>
        <v>0</v>
      </c>
      <c r="BU51" s="70">
        <v>0</v>
      </c>
      <c r="BV51" s="243"/>
      <c r="BW51" s="73" t="s">
        <v>226</v>
      </c>
      <c r="BX51" s="70">
        <v>0</v>
      </c>
      <c r="BY51" s="243"/>
      <c r="BZ51" s="73" t="s">
        <v>226</v>
      </c>
      <c r="CA51" s="70">
        <v>0</v>
      </c>
      <c r="CB51" s="243"/>
      <c r="CC51" s="73" t="s">
        <v>226</v>
      </c>
      <c r="CD51" s="70">
        <v>0</v>
      </c>
      <c r="CE51" s="243"/>
      <c r="CF51" s="73" t="s">
        <v>226</v>
      </c>
      <c r="CG51" s="70">
        <v>0</v>
      </c>
      <c r="CH51" s="243"/>
      <c r="CI51" s="73" t="s">
        <v>226</v>
      </c>
      <c r="CJ51" s="70">
        <v>0</v>
      </c>
      <c r="CK51" s="243"/>
      <c r="CL51" s="73" t="s">
        <v>226</v>
      </c>
      <c r="CM51" s="70">
        <f t="shared" si="1"/>
        <v>0</v>
      </c>
      <c r="DF51" s="70">
        <f t="shared" si="2"/>
        <v>0</v>
      </c>
      <c r="DG51" s="268"/>
    </row>
    <row r="52" spans="1:118" ht="44.25" customHeight="1" x14ac:dyDescent="0.2">
      <c r="A52" s="195" t="s">
        <v>82</v>
      </c>
      <c r="B52" s="69" t="s">
        <v>83</v>
      </c>
      <c r="C52" s="70">
        <v>0</v>
      </c>
      <c r="D52" s="248">
        <v>0</v>
      </c>
      <c r="E52" s="71"/>
      <c r="F52" s="70"/>
      <c r="G52" s="248">
        <v>0</v>
      </c>
      <c r="H52" s="71"/>
      <c r="I52" s="70">
        <v>3</v>
      </c>
      <c r="J52" s="246">
        <f>+I52/I53</f>
        <v>1.8987341772151899E-2</v>
      </c>
      <c r="K52" s="71"/>
      <c r="L52" s="70">
        <v>0</v>
      </c>
      <c r="M52" s="246">
        <v>0</v>
      </c>
      <c r="N52" s="198" t="s">
        <v>171</v>
      </c>
      <c r="O52" s="70">
        <v>0</v>
      </c>
      <c r="P52" s="246">
        <v>0</v>
      </c>
      <c r="Q52" s="198" t="s">
        <v>171</v>
      </c>
      <c r="R52" s="70">
        <v>0</v>
      </c>
      <c r="S52" s="246">
        <v>0</v>
      </c>
      <c r="T52" s="242" t="s">
        <v>174</v>
      </c>
      <c r="U52" s="70">
        <v>2</v>
      </c>
      <c r="V52" s="246">
        <v>0</v>
      </c>
      <c r="W52" s="242"/>
      <c r="X52" s="70"/>
      <c r="Y52" s="246">
        <v>0</v>
      </c>
      <c r="Z52" s="242"/>
      <c r="AA52" s="70">
        <v>1</v>
      </c>
      <c r="AB52" s="248">
        <f>AA52/AA53</f>
        <v>8.3333333333333329E-2</v>
      </c>
      <c r="AC52" s="242"/>
      <c r="AD52" s="70">
        <v>4</v>
      </c>
      <c r="AE52" s="248">
        <f>AD52/AD53</f>
        <v>6.8965517241379309E-2</v>
      </c>
      <c r="AF52" s="242"/>
      <c r="AG52" s="70">
        <v>3</v>
      </c>
      <c r="AH52" s="246">
        <f>AG52/AG53</f>
        <v>1.6666666666666666E-2</v>
      </c>
      <c r="AI52" s="242"/>
      <c r="AJ52" s="70">
        <v>7</v>
      </c>
      <c r="AK52" s="248">
        <f>AJ52/AJ53</f>
        <v>2.0348837209302327E-2</v>
      </c>
      <c r="AL52" s="242"/>
      <c r="AM52" s="70">
        <v>5</v>
      </c>
      <c r="AN52" s="248">
        <f>AM52/AM53</f>
        <v>2.0920502092050208E-2</v>
      </c>
      <c r="AO52" s="198" t="s">
        <v>191</v>
      </c>
      <c r="AP52" s="70">
        <v>6</v>
      </c>
      <c r="AQ52" s="248">
        <f>AP52/AP53</f>
        <v>2.2304832713754646E-2</v>
      </c>
      <c r="AR52" s="198"/>
      <c r="AS52" s="70">
        <v>4</v>
      </c>
      <c r="AT52" s="248">
        <f>AS52/AS53</f>
        <v>2.1621621621621623E-2</v>
      </c>
      <c r="AU52" s="198"/>
      <c r="AV52" s="70">
        <v>2</v>
      </c>
      <c r="AW52" s="248">
        <f>AV52/AV53</f>
        <v>8.9285714285714281E-3</v>
      </c>
      <c r="AX52" s="198"/>
      <c r="AY52" s="70">
        <v>4</v>
      </c>
      <c r="AZ52" s="248">
        <f>AY52/AY53</f>
        <v>0.04</v>
      </c>
      <c r="BA52" s="198" t="s">
        <v>206</v>
      </c>
      <c r="BB52" s="70">
        <v>4</v>
      </c>
      <c r="BC52" s="248">
        <f>BB52/BB53</f>
        <v>1.3114754098360656E-2</v>
      </c>
      <c r="BD52" s="198"/>
      <c r="BE52" s="70">
        <v>7</v>
      </c>
      <c r="BF52" s="248">
        <f>BE52/BE53</f>
        <v>1.5021459227467811E-2</v>
      </c>
      <c r="BG52" s="198"/>
      <c r="BH52" s="70">
        <v>16</v>
      </c>
      <c r="BI52" s="248">
        <f>BH52/BH53</f>
        <v>8.6021505376344093E-2</v>
      </c>
      <c r="BJ52" s="198"/>
      <c r="BK52" s="70">
        <v>17</v>
      </c>
      <c r="BL52" s="248">
        <f>BK52/BK53</f>
        <v>8.673469387755102E-2</v>
      </c>
      <c r="BM52" s="198"/>
      <c r="BN52" s="70">
        <v>0</v>
      </c>
      <c r="BO52" s="248" t="e">
        <f>BN52/BN53</f>
        <v>#DIV/0!</v>
      </c>
      <c r="BP52" s="198" t="s">
        <v>174</v>
      </c>
      <c r="BQ52" s="70">
        <v>6</v>
      </c>
      <c r="BR52" s="248">
        <f>BQ52/BQ53</f>
        <v>3.0303030303030304E-2</v>
      </c>
      <c r="BS52" s="198"/>
      <c r="BT52" s="70">
        <f t="shared" si="0"/>
        <v>50</v>
      </c>
      <c r="BU52" s="70">
        <v>0</v>
      </c>
      <c r="BV52" s="242">
        <v>0</v>
      </c>
      <c r="BW52" s="72" t="s">
        <v>174</v>
      </c>
      <c r="BX52" s="70">
        <v>0</v>
      </c>
      <c r="BY52" s="242">
        <v>0</v>
      </c>
      <c r="BZ52" s="72" t="s">
        <v>174</v>
      </c>
      <c r="CA52" s="70">
        <v>3</v>
      </c>
      <c r="CB52" s="246">
        <f>CA52/CA53</f>
        <v>3.0303030303030304E-2</v>
      </c>
      <c r="CC52" s="198" t="s">
        <v>259</v>
      </c>
      <c r="CD52" s="70">
        <v>6</v>
      </c>
      <c r="CE52" s="246">
        <f>CD52/CD53</f>
        <v>2.3166023166023165E-2</v>
      </c>
      <c r="CF52" s="198" t="s">
        <v>273</v>
      </c>
      <c r="CG52" s="70">
        <v>0</v>
      </c>
      <c r="CH52" s="246">
        <f>CG52/CG53</f>
        <v>0</v>
      </c>
      <c r="CI52" s="198" t="s">
        <v>213</v>
      </c>
      <c r="CJ52" s="70">
        <v>0</v>
      </c>
      <c r="CK52" s="246">
        <f>CJ52/CJ53</f>
        <v>0</v>
      </c>
      <c r="CL52" s="198" t="s">
        <v>213</v>
      </c>
      <c r="CM52" s="70">
        <f t="shared" si="1"/>
        <v>9</v>
      </c>
      <c r="CN52" s="70">
        <v>3</v>
      </c>
      <c r="CO52" s="230">
        <f>(CN52/CN53)*1000</f>
        <v>17.647058823529413</v>
      </c>
      <c r="CP52" s="232" t="s">
        <v>363</v>
      </c>
      <c r="CQ52" s="70">
        <v>3</v>
      </c>
      <c r="CR52" s="230">
        <f>(CQ52/CQ53)*1000</f>
        <v>42.857142857142854</v>
      </c>
      <c r="CS52" s="232" t="s">
        <v>361</v>
      </c>
      <c r="CT52" s="70">
        <v>5</v>
      </c>
      <c r="CU52" s="230">
        <f>(CT52/CT53)*1000</f>
        <v>49.504950495049506</v>
      </c>
      <c r="CV52" s="232" t="s">
        <v>386</v>
      </c>
      <c r="CW52" s="70">
        <v>2</v>
      </c>
      <c r="CX52" s="230">
        <f>(CW52/CW53)*1000</f>
        <v>36.36363636363636</v>
      </c>
      <c r="CY52" s="232" t="s">
        <v>407</v>
      </c>
      <c r="CZ52" s="70">
        <v>1</v>
      </c>
      <c r="DA52" s="230">
        <f>(CZ52/CZ53)*1000</f>
        <v>6.9930069930069934</v>
      </c>
      <c r="DB52" s="232" t="s">
        <v>448</v>
      </c>
      <c r="DC52" s="103">
        <v>5</v>
      </c>
      <c r="DD52" s="230">
        <f>(DC52/DC53)*1000</f>
        <v>74.626865671641781</v>
      </c>
      <c r="DF52" s="70">
        <f t="shared" si="2"/>
        <v>19</v>
      </c>
      <c r="DG52" s="267">
        <f t="shared" ref="DG52" si="23">DF52/DF53</f>
        <v>3.1353135313531351E-2</v>
      </c>
      <c r="DH52" s="103">
        <v>5</v>
      </c>
      <c r="DI52" s="230">
        <f>(DH52/DH53)*1000</f>
        <v>65.78947368421052</v>
      </c>
      <c r="DK52" s="108">
        <v>3</v>
      </c>
      <c r="DL52" s="230">
        <f>(DK52/DK53)*1000</f>
        <v>65.217391304347828</v>
      </c>
      <c r="DM52" s="108">
        <v>2</v>
      </c>
      <c r="DN52" s="230">
        <f>(DM52/DM53)*1000</f>
        <v>11.111111111111111</v>
      </c>
    </row>
    <row r="53" spans="1:118" ht="39" customHeight="1" x14ac:dyDescent="0.2">
      <c r="A53" s="195"/>
      <c r="B53" s="69" t="s">
        <v>84</v>
      </c>
      <c r="C53" s="70">
        <v>0</v>
      </c>
      <c r="D53" s="249"/>
      <c r="E53" s="71"/>
      <c r="F53" s="70"/>
      <c r="G53" s="249"/>
      <c r="H53" s="71"/>
      <c r="I53" s="70">
        <v>158</v>
      </c>
      <c r="J53" s="247"/>
      <c r="K53" s="71"/>
      <c r="L53" s="70">
        <v>0</v>
      </c>
      <c r="M53" s="247"/>
      <c r="N53" s="199"/>
      <c r="O53" s="70">
        <v>0</v>
      </c>
      <c r="P53" s="247"/>
      <c r="Q53" s="199"/>
      <c r="R53" s="70">
        <v>0</v>
      </c>
      <c r="S53" s="247"/>
      <c r="T53" s="243"/>
      <c r="U53" s="70">
        <f>8+1+19+26+4+2+26+1+1</f>
        <v>88</v>
      </c>
      <c r="V53" s="247"/>
      <c r="W53" s="243"/>
      <c r="X53" s="70">
        <v>49</v>
      </c>
      <c r="Y53" s="247"/>
      <c r="Z53" s="243"/>
      <c r="AA53" s="70">
        <v>12</v>
      </c>
      <c r="AB53" s="249"/>
      <c r="AC53" s="243"/>
      <c r="AD53" s="70">
        <f>10+12+5+11+15+5</f>
        <v>58</v>
      </c>
      <c r="AE53" s="249"/>
      <c r="AF53" s="243"/>
      <c r="AG53" s="70">
        <v>180</v>
      </c>
      <c r="AH53" s="247"/>
      <c r="AI53" s="243"/>
      <c r="AJ53" s="70">
        <v>344</v>
      </c>
      <c r="AK53" s="249"/>
      <c r="AL53" s="243"/>
      <c r="AM53" s="70">
        <v>239</v>
      </c>
      <c r="AN53" s="249"/>
      <c r="AO53" s="199"/>
      <c r="AP53" s="70">
        <v>269</v>
      </c>
      <c r="AQ53" s="249"/>
      <c r="AR53" s="199"/>
      <c r="AS53" s="70">
        <v>185</v>
      </c>
      <c r="AT53" s="249"/>
      <c r="AU53" s="199"/>
      <c r="AV53" s="70">
        <v>224</v>
      </c>
      <c r="AW53" s="249"/>
      <c r="AX53" s="199"/>
      <c r="AY53" s="70">
        <v>100</v>
      </c>
      <c r="AZ53" s="249"/>
      <c r="BA53" s="199"/>
      <c r="BB53" s="70">
        <f>142+163</f>
        <v>305</v>
      </c>
      <c r="BC53" s="249"/>
      <c r="BD53" s="199"/>
      <c r="BE53" s="70">
        <f>60+406</f>
        <v>466</v>
      </c>
      <c r="BF53" s="249"/>
      <c r="BG53" s="199"/>
      <c r="BH53" s="70">
        <v>186</v>
      </c>
      <c r="BI53" s="249"/>
      <c r="BJ53" s="199"/>
      <c r="BK53" s="70">
        <v>196</v>
      </c>
      <c r="BL53" s="249"/>
      <c r="BM53" s="199"/>
      <c r="BN53" s="70">
        <v>0</v>
      </c>
      <c r="BO53" s="249"/>
      <c r="BP53" s="199"/>
      <c r="BQ53" s="70">
        <v>198</v>
      </c>
      <c r="BR53" s="249"/>
      <c r="BS53" s="199"/>
      <c r="BT53" s="70">
        <f t="shared" si="0"/>
        <v>1351</v>
      </c>
      <c r="BU53" s="70">
        <v>0</v>
      </c>
      <c r="BV53" s="243"/>
      <c r="BW53" s="72" t="s">
        <v>174</v>
      </c>
      <c r="BX53" s="70">
        <v>0</v>
      </c>
      <c r="BY53" s="243"/>
      <c r="BZ53" s="72" t="s">
        <v>174</v>
      </c>
      <c r="CA53" s="70">
        <v>99</v>
      </c>
      <c r="CB53" s="247"/>
      <c r="CC53" s="199"/>
      <c r="CD53" s="70">
        <v>259</v>
      </c>
      <c r="CE53" s="247"/>
      <c r="CF53" s="199"/>
      <c r="CG53" s="70">
        <v>36</v>
      </c>
      <c r="CH53" s="247"/>
      <c r="CI53" s="199"/>
      <c r="CJ53" s="70">
        <v>39</v>
      </c>
      <c r="CK53" s="247"/>
      <c r="CL53" s="199"/>
      <c r="CM53" s="70">
        <f t="shared" si="1"/>
        <v>433</v>
      </c>
      <c r="CN53" s="70">
        <v>170</v>
      </c>
      <c r="CO53" s="231"/>
      <c r="CP53" s="232"/>
      <c r="CQ53" s="70">
        <v>70</v>
      </c>
      <c r="CR53" s="231"/>
      <c r="CS53" s="232"/>
      <c r="CT53" s="70">
        <v>101</v>
      </c>
      <c r="CU53" s="231"/>
      <c r="CV53" s="232"/>
      <c r="CW53" s="70">
        <v>55</v>
      </c>
      <c r="CX53" s="231"/>
      <c r="CY53" s="232"/>
      <c r="CZ53" s="70">
        <v>143</v>
      </c>
      <c r="DA53" s="231"/>
      <c r="DB53" s="232"/>
      <c r="DC53" s="103">
        <v>67</v>
      </c>
      <c r="DD53" s="231"/>
      <c r="DF53" s="70">
        <f t="shared" si="2"/>
        <v>606</v>
      </c>
      <c r="DG53" s="268"/>
      <c r="DH53" s="103">
        <v>76</v>
      </c>
      <c r="DI53" s="231"/>
      <c r="DK53" s="108">
        <v>46</v>
      </c>
      <c r="DL53" s="231"/>
      <c r="DM53" s="108">
        <v>180</v>
      </c>
      <c r="DN53" s="231"/>
    </row>
    <row r="54" spans="1:118" ht="48" customHeight="1" x14ac:dyDescent="0.2">
      <c r="A54" s="195" t="s">
        <v>85</v>
      </c>
      <c r="B54" s="69" t="s">
        <v>86</v>
      </c>
      <c r="C54" s="70">
        <v>0</v>
      </c>
      <c r="D54" s="248">
        <v>0</v>
      </c>
      <c r="E54" s="71"/>
      <c r="F54" s="70"/>
      <c r="G54" s="248">
        <v>0</v>
      </c>
      <c r="H54" s="71"/>
      <c r="I54" s="70">
        <v>0</v>
      </c>
      <c r="J54" s="248">
        <v>0</v>
      </c>
      <c r="K54" s="71"/>
      <c r="L54" s="70">
        <v>0</v>
      </c>
      <c r="M54" s="248">
        <v>0</v>
      </c>
      <c r="N54" s="198" t="s">
        <v>171</v>
      </c>
      <c r="O54" s="70">
        <v>0</v>
      </c>
      <c r="P54" s="248">
        <v>0</v>
      </c>
      <c r="Q54" s="198" t="s">
        <v>171</v>
      </c>
      <c r="R54" s="70">
        <v>0</v>
      </c>
      <c r="S54" s="248">
        <v>0</v>
      </c>
      <c r="T54" s="242" t="s">
        <v>174</v>
      </c>
      <c r="U54" s="70">
        <v>3</v>
      </c>
      <c r="V54" s="248">
        <v>0</v>
      </c>
      <c r="W54" s="242"/>
      <c r="X54" s="70"/>
      <c r="Y54" s="248">
        <v>0</v>
      </c>
      <c r="Z54" s="242"/>
      <c r="AA54" s="70">
        <v>6</v>
      </c>
      <c r="AB54" s="248">
        <f>AA54/AA55</f>
        <v>0.24</v>
      </c>
      <c r="AC54" s="242"/>
      <c r="AD54" s="70">
        <v>3</v>
      </c>
      <c r="AE54" s="248">
        <f>AD54/AD55</f>
        <v>7.4999999999999997E-2</v>
      </c>
      <c r="AF54" s="242"/>
      <c r="AG54" s="70">
        <v>3</v>
      </c>
      <c r="AH54" s="246">
        <f>AG54/AG55</f>
        <v>2.1739130434782608E-2</v>
      </c>
      <c r="AI54" s="242"/>
      <c r="AJ54" s="70">
        <v>6</v>
      </c>
      <c r="AK54" s="246">
        <f>AJ54/AJ55</f>
        <v>1.6172506738544475E-2</v>
      </c>
      <c r="AL54" s="242"/>
      <c r="AM54" s="70">
        <v>4</v>
      </c>
      <c r="AN54" s="246">
        <f>AM54/AM55</f>
        <v>7.9840319361277438E-3</v>
      </c>
      <c r="AO54" s="198" t="s">
        <v>192</v>
      </c>
      <c r="AP54" s="70">
        <v>4</v>
      </c>
      <c r="AQ54" s="246">
        <f>AP54/AP55</f>
        <v>1.3651877133105802E-2</v>
      </c>
      <c r="AR54" s="198"/>
      <c r="AS54" s="70">
        <v>7</v>
      </c>
      <c r="AT54" s="246">
        <f>AS54/AS55</f>
        <v>2.0527859237536656E-2</v>
      </c>
      <c r="AU54" s="198"/>
      <c r="AV54" s="70">
        <v>7</v>
      </c>
      <c r="AW54" s="246">
        <f>AV54/AV55</f>
        <v>1.5659955257270694E-2</v>
      </c>
      <c r="AX54" s="198"/>
      <c r="AY54" s="70">
        <v>0</v>
      </c>
      <c r="AZ54" s="246" t="e">
        <f>AY54/AY55</f>
        <v>#VALUE!</v>
      </c>
      <c r="BA54" s="198"/>
      <c r="BB54" s="70">
        <v>3</v>
      </c>
      <c r="BC54" s="246">
        <f>BB54/BB55</f>
        <v>4.9019607843137254E-3</v>
      </c>
      <c r="BD54" s="198"/>
      <c r="BE54" s="70">
        <v>0</v>
      </c>
      <c r="BF54" s="246">
        <f>BE54/BE55</f>
        <v>0</v>
      </c>
      <c r="BG54" s="198"/>
      <c r="BH54" s="70">
        <v>14</v>
      </c>
      <c r="BI54" s="246">
        <f>BH54/BH55</f>
        <v>3.8043478260869568E-2</v>
      </c>
      <c r="BJ54" s="198"/>
      <c r="BK54" s="70">
        <v>13</v>
      </c>
      <c r="BL54" s="246">
        <f>BK54/BK55</f>
        <v>8.387096774193549E-2</v>
      </c>
      <c r="BM54" s="198"/>
      <c r="BN54" s="70">
        <v>0</v>
      </c>
      <c r="BO54" s="246" t="e">
        <f>BN54/BN55</f>
        <v>#DIV/0!</v>
      </c>
      <c r="BP54" s="198" t="s">
        <v>174</v>
      </c>
      <c r="BQ54" s="70">
        <v>4</v>
      </c>
      <c r="BR54" s="246">
        <f>BQ54/BQ55</f>
        <v>7.0796460176991149E-3</v>
      </c>
      <c r="BS54" s="198"/>
      <c r="BT54" s="70">
        <f t="shared" si="0"/>
        <v>34</v>
      </c>
      <c r="BU54" s="70">
        <v>0</v>
      </c>
      <c r="BV54" s="242">
        <v>0</v>
      </c>
      <c r="BW54" s="72" t="s">
        <v>174</v>
      </c>
      <c r="BX54" s="70">
        <v>0</v>
      </c>
      <c r="BY54" s="242">
        <v>0</v>
      </c>
      <c r="BZ54" s="72" t="s">
        <v>174</v>
      </c>
      <c r="CA54" s="70">
        <v>3</v>
      </c>
      <c r="CB54" s="246">
        <f>CA54/CA55</f>
        <v>2.6315789473684209E-2</v>
      </c>
      <c r="CC54" s="198" t="s">
        <v>260</v>
      </c>
      <c r="CD54" s="70">
        <v>2</v>
      </c>
      <c r="CE54" s="246">
        <f>CD54/CD55</f>
        <v>3.875968992248062E-3</v>
      </c>
      <c r="CF54" s="198" t="s">
        <v>274</v>
      </c>
      <c r="CG54" s="70">
        <v>4</v>
      </c>
      <c r="CH54" s="246">
        <f>CG54/CG55</f>
        <v>1.4234875444839857E-2</v>
      </c>
      <c r="CI54" s="198" t="s">
        <v>304</v>
      </c>
      <c r="CJ54" s="70">
        <v>1</v>
      </c>
      <c r="CK54" s="246">
        <f>CJ54/CJ55</f>
        <v>3.7735849056603774E-3</v>
      </c>
      <c r="CL54" s="198" t="s">
        <v>274</v>
      </c>
      <c r="CM54" s="70">
        <f t="shared" si="1"/>
        <v>10</v>
      </c>
      <c r="CN54" s="70">
        <v>0</v>
      </c>
      <c r="CO54" s="230">
        <f>(CN54/CN55)*1000</f>
        <v>0</v>
      </c>
      <c r="CP54" s="232" t="s">
        <v>364</v>
      </c>
      <c r="CQ54" s="70">
        <v>3</v>
      </c>
      <c r="CR54" s="230">
        <f>(CQ54/CQ55)*1000</f>
        <v>13.513513513513514</v>
      </c>
      <c r="CS54" s="232" t="s">
        <v>362</v>
      </c>
      <c r="CT54" s="70">
        <v>2</v>
      </c>
      <c r="CU54" s="230">
        <f>(CT54/CT55)*1000</f>
        <v>39.215686274509807</v>
      </c>
      <c r="CV54" s="232" t="s">
        <v>387</v>
      </c>
      <c r="CW54" s="70">
        <v>8</v>
      </c>
      <c r="CX54" s="230">
        <f>(CW54/CW55)*1000</f>
        <v>25</v>
      </c>
      <c r="CY54" s="232" t="s">
        <v>408</v>
      </c>
      <c r="CZ54" s="70">
        <v>1</v>
      </c>
      <c r="DA54" s="230">
        <f>(CZ54/CZ55)*1000</f>
        <v>4.5248868778280551</v>
      </c>
      <c r="DB54" s="232" t="s">
        <v>449</v>
      </c>
      <c r="DC54" s="103">
        <v>1</v>
      </c>
      <c r="DD54" s="230">
        <f>(DC54/DC55)*1000</f>
        <v>5.6179775280898872</v>
      </c>
      <c r="DF54" s="70">
        <f t="shared" si="2"/>
        <v>15</v>
      </c>
      <c r="DG54" s="267">
        <f t="shared" ref="DG54" si="24">DF54/DF55</f>
        <v>1.1682242990654205E-2</v>
      </c>
      <c r="DH54" s="103">
        <v>3</v>
      </c>
      <c r="DI54" s="230">
        <f>(DH54/DH55)*1000</f>
        <v>9.8360655737704921</v>
      </c>
      <c r="DK54" s="108">
        <v>0</v>
      </c>
      <c r="DL54" s="230">
        <f>(DK54/DK55)*1000</f>
        <v>0</v>
      </c>
      <c r="DM54" s="108">
        <v>0</v>
      </c>
      <c r="DN54" s="230">
        <f>(DM54/DM55)*1000</f>
        <v>0</v>
      </c>
    </row>
    <row r="55" spans="1:118" ht="42" customHeight="1" x14ac:dyDescent="0.2">
      <c r="A55" s="195"/>
      <c r="B55" s="69" t="s">
        <v>87</v>
      </c>
      <c r="C55" s="70">
        <v>0</v>
      </c>
      <c r="D55" s="249"/>
      <c r="E55" s="71"/>
      <c r="F55" s="70"/>
      <c r="G55" s="249"/>
      <c r="H55" s="71"/>
      <c r="I55" s="70">
        <v>248</v>
      </c>
      <c r="J55" s="249"/>
      <c r="K55" s="71"/>
      <c r="L55" s="70">
        <v>0</v>
      </c>
      <c r="M55" s="249"/>
      <c r="N55" s="199"/>
      <c r="O55" s="70">
        <v>0</v>
      </c>
      <c r="P55" s="249"/>
      <c r="Q55" s="199"/>
      <c r="R55" s="70">
        <v>0</v>
      </c>
      <c r="S55" s="249"/>
      <c r="T55" s="243"/>
      <c r="U55" s="70">
        <v>31</v>
      </c>
      <c r="V55" s="249"/>
      <c r="W55" s="243"/>
      <c r="X55" s="70">
        <v>71</v>
      </c>
      <c r="Y55" s="249"/>
      <c r="Z55" s="243"/>
      <c r="AA55" s="70">
        <v>25</v>
      </c>
      <c r="AB55" s="249"/>
      <c r="AC55" s="243"/>
      <c r="AD55" s="70">
        <f>5+9+4+22</f>
        <v>40</v>
      </c>
      <c r="AE55" s="249"/>
      <c r="AF55" s="243"/>
      <c r="AG55" s="70">
        <v>138</v>
      </c>
      <c r="AH55" s="247"/>
      <c r="AI55" s="243"/>
      <c r="AJ55" s="70">
        <v>371</v>
      </c>
      <c r="AK55" s="247"/>
      <c r="AL55" s="243"/>
      <c r="AM55" s="70">
        <v>501</v>
      </c>
      <c r="AN55" s="247"/>
      <c r="AO55" s="199"/>
      <c r="AP55" s="70">
        <v>293</v>
      </c>
      <c r="AQ55" s="247"/>
      <c r="AR55" s="199"/>
      <c r="AS55" s="70">
        <v>341</v>
      </c>
      <c r="AT55" s="247"/>
      <c r="AU55" s="199"/>
      <c r="AV55" s="70">
        <v>447</v>
      </c>
      <c r="AW55" s="247"/>
      <c r="AX55" s="199"/>
      <c r="AY55" s="73" t="s">
        <v>208</v>
      </c>
      <c r="AZ55" s="247"/>
      <c r="BA55" s="199"/>
      <c r="BB55" s="73">
        <f>341+271</f>
        <v>612</v>
      </c>
      <c r="BC55" s="247"/>
      <c r="BD55" s="199"/>
      <c r="BE55" s="73">
        <f>401+131</f>
        <v>532</v>
      </c>
      <c r="BF55" s="247"/>
      <c r="BG55" s="199"/>
      <c r="BH55" s="73">
        <v>368</v>
      </c>
      <c r="BI55" s="247"/>
      <c r="BJ55" s="199"/>
      <c r="BK55" s="73">
        <v>155</v>
      </c>
      <c r="BL55" s="247"/>
      <c r="BM55" s="199"/>
      <c r="BN55" s="73">
        <v>0</v>
      </c>
      <c r="BO55" s="247"/>
      <c r="BP55" s="199"/>
      <c r="BQ55" s="73">
        <v>565</v>
      </c>
      <c r="BR55" s="247"/>
      <c r="BS55" s="199"/>
      <c r="BT55" s="73">
        <f t="shared" si="0"/>
        <v>2232</v>
      </c>
      <c r="BU55" s="73">
        <v>0</v>
      </c>
      <c r="BV55" s="243"/>
      <c r="BW55" s="72" t="s">
        <v>174</v>
      </c>
      <c r="BX55" s="73">
        <v>0</v>
      </c>
      <c r="BY55" s="243"/>
      <c r="BZ55" s="72" t="s">
        <v>174</v>
      </c>
      <c r="CA55" s="73">
        <v>114</v>
      </c>
      <c r="CB55" s="247"/>
      <c r="CC55" s="199"/>
      <c r="CD55" s="73">
        <v>516</v>
      </c>
      <c r="CE55" s="247"/>
      <c r="CF55" s="199"/>
      <c r="CG55" s="73">
        <v>281</v>
      </c>
      <c r="CH55" s="247"/>
      <c r="CI55" s="199"/>
      <c r="CJ55" s="73">
        <v>265</v>
      </c>
      <c r="CK55" s="247"/>
      <c r="CL55" s="199"/>
      <c r="CM55" s="73">
        <f t="shared" si="1"/>
        <v>1176</v>
      </c>
      <c r="CN55" s="70">
        <v>292</v>
      </c>
      <c r="CO55" s="231"/>
      <c r="CP55" s="232"/>
      <c r="CQ55" s="70">
        <v>222</v>
      </c>
      <c r="CR55" s="231"/>
      <c r="CS55" s="232"/>
      <c r="CT55" s="70">
        <v>51</v>
      </c>
      <c r="CU55" s="231"/>
      <c r="CV55" s="232"/>
      <c r="CW55" s="70">
        <v>320</v>
      </c>
      <c r="CX55" s="231"/>
      <c r="CY55" s="232"/>
      <c r="CZ55" s="70">
        <v>221</v>
      </c>
      <c r="DA55" s="231"/>
      <c r="DB55" s="232"/>
      <c r="DC55" s="103">
        <v>178</v>
      </c>
      <c r="DD55" s="231"/>
      <c r="DF55" s="70">
        <f t="shared" si="2"/>
        <v>1284</v>
      </c>
      <c r="DG55" s="268"/>
      <c r="DH55" s="103">
        <v>305</v>
      </c>
      <c r="DI55" s="231"/>
      <c r="DK55" s="108">
        <v>42</v>
      </c>
      <c r="DL55" s="231"/>
      <c r="DM55" s="108">
        <v>246</v>
      </c>
      <c r="DN55" s="231"/>
    </row>
    <row r="56" spans="1:118" ht="54.6" customHeight="1" x14ac:dyDescent="0.2">
      <c r="A56" s="195" t="s">
        <v>88</v>
      </c>
      <c r="B56" s="69" t="s">
        <v>89</v>
      </c>
      <c r="C56" s="70">
        <v>0</v>
      </c>
      <c r="D56" s="248">
        <v>0</v>
      </c>
      <c r="E56" s="71"/>
      <c r="F56" s="70"/>
      <c r="G56" s="248">
        <v>0</v>
      </c>
      <c r="H56" s="71"/>
      <c r="I56" s="70">
        <v>2</v>
      </c>
      <c r="J56" s="248">
        <v>0</v>
      </c>
      <c r="K56" s="71"/>
      <c r="L56" s="70">
        <v>0</v>
      </c>
      <c r="M56" s="248">
        <v>0</v>
      </c>
      <c r="N56" s="198" t="s">
        <v>171</v>
      </c>
      <c r="O56" s="70">
        <v>0</v>
      </c>
      <c r="P56" s="248">
        <v>0</v>
      </c>
      <c r="Q56" s="198" t="s">
        <v>171</v>
      </c>
      <c r="R56" s="70">
        <v>0</v>
      </c>
      <c r="S56" s="248">
        <v>0</v>
      </c>
      <c r="T56" s="242" t="s">
        <v>174</v>
      </c>
      <c r="U56" s="70">
        <v>0</v>
      </c>
      <c r="V56" s="248">
        <v>0</v>
      </c>
      <c r="W56" s="242"/>
      <c r="X56" s="70">
        <v>0</v>
      </c>
      <c r="Y56" s="248">
        <v>0</v>
      </c>
      <c r="Z56" s="242"/>
      <c r="AA56" s="70">
        <v>0</v>
      </c>
      <c r="AB56" s="248">
        <v>0</v>
      </c>
      <c r="AC56" s="242"/>
      <c r="AD56" s="70">
        <v>0</v>
      </c>
      <c r="AE56" s="248">
        <v>0</v>
      </c>
      <c r="AF56" s="242"/>
      <c r="AG56" s="70">
        <v>2</v>
      </c>
      <c r="AH56" s="246">
        <f>AG56/AG57</f>
        <v>1.2987012987012988E-2</v>
      </c>
      <c r="AI56" s="242"/>
      <c r="AJ56" s="70">
        <v>3</v>
      </c>
      <c r="AK56" s="246">
        <f>+AJ56/AJ57</f>
        <v>6.2500000000000003E-3</v>
      </c>
      <c r="AL56" s="242"/>
      <c r="AM56" s="70">
        <v>3</v>
      </c>
      <c r="AN56" s="246">
        <f>+AM56/AM57</f>
        <v>1.8867924528301886E-2</v>
      </c>
      <c r="AO56" s="198" t="s">
        <v>193</v>
      </c>
      <c r="AP56" s="70">
        <v>2</v>
      </c>
      <c r="AQ56" s="246">
        <f>+AP56/AP57</f>
        <v>7.2727272727272727E-3</v>
      </c>
      <c r="AR56" s="198"/>
      <c r="AS56" s="70">
        <v>4</v>
      </c>
      <c r="AT56" s="246">
        <f>+AS56/AS57</f>
        <v>1.4388489208633094E-2</v>
      </c>
      <c r="AU56" s="198"/>
      <c r="AV56" s="70">
        <v>2</v>
      </c>
      <c r="AW56" s="246">
        <f>+AV56/AV57</f>
        <v>8.9285714285714281E-3</v>
      </c>
      <c r="AX56" s="198"/>
      <c r="AY56" s="70">
        <v>1</v>
      </c>
      <c r="AZ56" s="246">
        <f>+AY56/AY57</f>
        <v>8.130081300813009E-3</v>
      </c>
      <c r="BA56" s="198" t="s">
        <v>207</v>
      </c>
      <c r="BB56" s="70">
        <v>2</v>
      </c>
      <c r="BC56" s="246">
        <f>+BB56/BB57</f>
        <v>9.0497737556561094E-3</v>
      </c>
      <c r="BD56" s="198"/>
      <c r="BE56" s="70">
        <v>3</v>
      </c>
      <c r="BF56" s="246">
        <f>+BE56/BE57</f>
        <v>4.2194092827004216E-3</v>
      </c>
      <c r="BG56" s="198"/>
      <c r="BH56" s="70">
        <v>24</v>
      </c>
      <c r="BI56" s="246">
        <f>+BH56/BH57</f>
        <v>0.10859728506787331</v>
      </c>
      <c r="BJ56" s="198"/>
      <c r="BK56" s="70">
        <v>18</v>
      </c>
      <c r="BL56" s="246">
        <f>+BK56/BK57</f>
        <v>7.5949367088607597E-2</v>
      </c>
      <c r="BM56" s="198"/>
      <c r="BN56" s="70">
        <v>0</v>
      </c>
      <c r="BO56" s="246" t="e">
        <f>+BN56/BN57</f>
        <v>#DIV/0!</v>
      </c>
      <c r="BP56" s="198" t="s">
        <v>174</v>
      </c>
      <c r="BQ56" s="70">
        <v>3</v>
      </c>
      <c r="BR56" s="246">
        <f>+BQ56/BQ57</f>
        <v>1.098901098901099E-2</v>
      </c>
      <c r="BS56" s="198"/>
      <c r="BT56" s="70">
        <f t="shared" si="0"/>
        <v>50</v>
      </c>
      <c r="BU56" s="70">
        <v>0</v>
      </c>
      <c r="BV56" s="242">
        <v>0</v>
      </c>
      <c r="BW56" s="72" t="s">
        <v>174</v>
      </c>
      <c r="BX56" s="70">
        <v>0</v>
      </c>
      <c r="BY56" s="242">
        <v>0</v>
      </c>
      <c r="BZ56" s="72" t="s">
        <v>174</v>
      </c>
      <c r="CA56" s="70">
        <v>5</v>
      </c>
      <c r="CB56" s="246">
        <f>CA56/CA57</f>
        <v>5.8139534883720929E-2</v>
      </c>
      <c r="CC56" s="198" t="s">
        <v>261</v>
      </c>
      <c r="CD56" s="70">
        <v>1</v>
      </c>
      <c r="CE56" s="246">
        <f>CD56/CD57</f>
        <v>3.3670033670033669E-3</v>
      </c>
      <c r="CF56" s="198" t="s">
        <v>275</v>
      </c>
      <c r="CG56" s="70">
        <v>0</v>
      </c>
      <c r="CH56" s="246">
        <f>CG56/CG57</f>
        <v>0</v>
      </c>
      <c r="CI56" s="198" t="s">
        <v>213</v>
      </c>
      <c r="CJ56" s="70">
        <v>0</v>
      </c>
      <c r="CK56" s="246">
        <f>CJ56/CJ57</f>
        <v>0</v>
      </c>
      <c r="CL56" s="198" t="s">
        <v>213</v>
      </c>
      <c r="CM56" s="70">
        <f t="shared" si="1"/>
        <v>6</v>
      </c>
      <c r="CN56" s="70">
        <v>0</v>
      </c>
      <c r="CO56" s="230">
        <v>0</v>
      </c>
      <c r="CP56" s="232" t="s">
        <v>364</v>
      </c>
      <c r="CQ56" s="70">
        <v>0</v>
      </c>
      <c r="CR56" s="230">
        <v>0</v>
      </c>
      <c r="CS56" s="232" t="s">
        <v>364</v>
      </c>
      <c r="CT56" s="70">
        <v>3</v>
      </c>
      <c r="CU56" s="230">
        <f>(CT56/CT57)*1000</f>
        <v>46.153846153846153</v>
      </c>
      <c r="CV56" s="232" t="s">
        <v>388</v>
      </c>
      <c r="CW56" s="70">
        <v>0</v>
      </c>
      <c r="CX56" s="230">
        <f>(CW56/CW57)*1000</f>
        <v>0</v>
      </c>
      <c r="CY56" s="232" t="s">
        <v>409</v>
      </c>
      <c r="CZ56" s="70">
        <v>2</v>
      </c>
      <c r="DA56" s="230">
        <f>(CZ56/CZ57)*1000</f>
        <v>15.267175572519083</v>
      </c>
      <c r="DB56" s="232" t="s">
        <v>450</v>
      </c>
      <c r="DC56" s="103">
        <v>3</v>
      </c>
      <c r="DD56" s="230">
        <f>(DC56/DC57)*1000</f>
        <v>61.224489795918366</v>
      </c>
      <c r="DF56" s="70">
        <f t="shared" si="2"/>
        <v>8</v>
      </c>
      <c r="DG56" s="267">
        <f t="shared" ref="DG56" si="25">DF56/DF57</f>
        <v>1.3266998341625208E-2</v>
      </c>
      <c r="DH56" s="103">
        <v>3</v>
      </c>
      <c r="DI56" s="230">
        <f>(DH56/DH57)*1000</f>
        <v>24.390243902439025</v>
      </c>
      <c r="DJ56" s="105"/>
      <c r="DK56" s="108">
        <v>0</v>
      </c>
      <c r="DL56" s="230">
        <f>(DK56/DK57)*1000</f>
        <v>0</v>
      </c>
      <c r="DM56" s="108">
        <v>1</v>
      </c>
      <c r="DN56" s="230">
        <f>(DM56/DM57)*1000</f>
        <v>4.6728971962616823</v>
      </c>
    </row>
    <row r="57" spans="1:118" ht="53.25" customHeight="1" x14ac:dyDescent="0.2">
      <c r="A57" s="195"/>
      <c r="B57" s="69" t="s">
        <v>90</v>
      </c>
      <c r="C57" s="70">
        <v>0</v>
      </c>
      <c r="D57" s="249"/>
      <c r="E57" s="71"/>
      <c r="F57" s="70"/>
      <c r="G57" s="249"/>
      <c r="H57" s="71"/>
      <c r="I57" s="70">
        <v>144</v>
      </c>
      <c r="J57" s="249"/>
      <c r="K57" s="71"/>
      <c r="L57" s="70">
        <v>0</v>
      </c>
      <c r="M57" s="249"/>
      <c r="N57" s="199"/>
      <c r="O57" s="70">
        <v>0</v>
      </c>
      <c r="P57" s="249"/>
      <c r="Q57" s="199"/>
      <c r="R57" s="70">
        <v>0</v>
      </c>
      <c r="S57" s="249"/>
      <c r="T57" s="243"/>
      <c r="U57" s="70">
        <v>59</v>
      </c>
      <c r="V57" s="249"/>
      <c r="W57" s="243"/>
      <c r="X57" s="70">
        <v>11</v>
      </c>
      <c r="Y57" s="249"/>
      <c r="Z57" s="243"/>
      <c r="AA57" s="70">
        <v>13</v>
      </c>
      <c r="AB57" s="249"/>
      <c r="AC57" s="243"/>
      <c r="AD57" s="70">
        <f>8+4+11+13</f>
        <v>36</v>
      </c>
      <c r="AE57" s="249"/>
      <c r="AF57" s="243"/>
      <c r="AG57" s="70">
        <v>154</v>
      </c>
      <c r="AH57" s="247"/>
      <c r="AI57" s="243"/>
      <c r="AJ57" s="70">
        <v>480</v>
      </c>
      <c r="AK57" s="247"/>
      <c r="AL57" s="243"/>
      <c r="AM57" s="70">
        <v>159</v>
      </c>
      <c r="AN57" s="247"/>
      <c r="AO57" s="199"/>
      <c r="AP57" s="70">
        <v>275</v>
      </c>
      <c r="AQ57" s="247"/>
      <c r="AR57" s="199"/>
      <c r="AS57" s="70">
        <v>278</v>
      </c>
      <c r="AT57" s="247"/>
      <c r="AU57" s="199"/>
      <c r="AV57" s="70">
        <v>224</v>
      </c>
      <c r="AW57" s="247"/>
      <c r="AX57" s="199"/>
      <c r="AY57" s="70">
        <v>123</v>
      </c>
      <c r="AZ57" s="247"/>
      <c r="BA57" s="199"/>
      <c r="BB57" s="70">
        <v>221</v>
      </c>
      <c r="BC57" s="247"/>
      <c r="BD57" s="199"/>
      <c r="BE57" s="70">
        <v>711</v>
      </c>
      <c r="BF57" s="247"/>
      <c r="BG57" s="199"/>
      <c r="BH57" s="70">
        <v>221</v>
      </c>
      <c r="BI57" s="247"/>
      <c r="BJ57" s="199"/>
      <c r="BK57" s="70">
        <v>237</v>
      </c>
      <c r="BL57" s="247"/>
      <c r="BM57" s="199"/>
      <c r="BN57" s="70">
        <v>0</v>
      </c>
      <c r="BO57" s="247"/>
      <c r="BP57" s="199"/>
      <c r="BQ57" s="70">
        <v>273</v>
      </c>
      <c r="BR57" s="247"/>
      <c r="BS57" s="199"/>
      <c r="BT57" s="70">
        <f t="shared" si="0"/>
        <v>1663</v>
      </c>
      <c r="BU57" s="70">
        <v>0</v>
      </c>
      <c r="BV57" s="243"/>
      <c r="BW57" s="72" t="s">
        <v>174</v>
      </c>
      <c r="BX57" s="70">
        <v>0</v>
      </c>
      <c r="BY57" s="243"/>
      <c r="BZ57" s="72" t="s">
        <v>174</v>
      </c>
      <c r="CA57" s="70">
        <v>86</v>
      </c>
      <c r="CB57" s="247"/>
      <c r="CC57" s="199"/>
      <c r="CD57" s="70">
        <v>297</v>
      </c>
      <c r="CE57" s="247"/>
      <c r="CF57" s="199"/>
      <c r="CG57" s="70">
        <v>141</v>
      </c>
      <c r="CH57" s="247"/>
      <c r="CI57" s="199"/>
      <c r="CJ57" s="70">
        <v>138</v>
      </c>
      <c r="CK57" s="247"/>
      <c r="CL57" s="199"/>
      <c r="CM57" s="70">
        <f t="shared" si="1"/>
        <v>662</v>
      </c>
      <c r="CN57" s="70">
        <v>203</v>
      </c>
      <c r="CO57" s="231"/>
      <c r="CP57" s="232"/>
      <c r="CQ57" s="70">
        <v>93</v>
      </c>
      <c r="CR57" s="231"/>
      <c r="CS57" s="232"/>
      <c r="CT57" s="70">
        <v>65</v>
      </c>
      <c r="CU57" s="231"/>
      <c r="CV57" s="232"/>
      <c r="CW57" s="70">
        <v>62</v>
      </c>
      <c r="CX57" s="231"/>
      <c r="CY57" s="232"/>
      <c r="CZ57" s="70">
        <v>131</v>
      </c>
      <c r="DA57" s="231"/>
      <c r="DB57" s="232"/>
      <c r="DC57" s="103">
        <v>49</v>
      </c>
      <c r="DD57" s="231"/>
      <c r="DF57" s="70">
        <f t="shared" si="2"/>
        <v>603</v>
      </c>
      <c r="DG57" s="268"/>
      <c r="DH57" s="103">
        <v>123</v>
      </c>
      <c r="DI57" s="231"/>
      <c r="DJ57" s="105"/>
      <c r="DK57" s="108">
        <v>31</v>
      </c>
      <c r="DL57" s="231"/>
      <c r="DM57" s="108">
        <v>214</v>
      </c>
      <c r="DN57" s="231"/>
    </row>
    <row r="58" spans="1:118" ht="24.75" customHeight="1" x14ac:dyDescent="0.2">
      <c r="A58" s="195" t="s">
        <v>91</v>
      </c>
      <c r="B58" s="69" t="s">
        <v>92</v>
      </c>
      <c r="C58" s="70">
        <v>0</v>
      </c>
      <c r="D58" s="248">
        <f>+C58/C59</f>
        <v>0</v>
      </c>
      <c r="E58" s="71"/>
      <c r="F58" s="70">
        <v>0</v>
      </c>
      <c r="G58" s="248">
        <f>+F58/F59</f>
        <v>0</v>
      </c>
      <c r="H58" s="71"/>
      <c r="I58" s="70">
        <v>0</v>
      </c>
      <c r="J58" s="248">
        <f>+I58/I59</f>
        <v>0</v>
      </c>
      <c r="K58" s="71"/>
      <c r="L58" s="70">
        <v>0</v>
      </c>
      <c r="M58" s="248">
        <f>+L58/L59</f>
        <v>0</v>
      </c>
      <c r="N58" s="242"/>
      <c r="O58" s="70">
        <v>0</v>
      </c>
      <c r="P58" s="248">
        <f>+O58/O59</f>
        <v>0</v>
      </c>
      <c r="Q58" s="242"/>
      <c r="R58" s="70">
        <v>0</v>
      </c>
      <c r="S58" s="248">
        <f>+R58/R59</f>
        <v>0</v>
      </c>
      <c r="T58" s="242"/>
      <c r="U58" s="70">
        <v>0</v>
      </c>
      <c r="V58" s="248">
        <f>+U58/U59</f>
        <v>0</v>
      </c>
      <c r="W58" s="242"/>
      <c r="X58" s="70">
        <v>0</v>
      </c>
      <c r="Y58" s="248">
        <f>+X58/X59</f>
        <v>0</v>
      </c>
      <c r="Z58" s="198" t="s">
        <v>182</v>
      </c>
      <c r="AA58" s="70">
        <v>0</v>
      </c>
      <c r="AB58" s="248">
        <f>+AA58/AA59</f>
        <v>0</v>
      </c>
      <c r="AC58" s="198"/>
      <c r="AD58" s="70">
        <v>0</v>
      </c>
      <c r="AE58" s="248">
        <f>+AD58/AD59</f>
        <v>0</v>
      </c>
      <c r="AF58" s="198"/>
      <c r="AG58" s="70">
        <v>0</v>
      </c>
      <c r="AH58" s="248">
        <f>+AG58/AG59</f>
        <v>0</v>
      </c>
      <c r="AI58" s="198"/>
      <c r="AJ58" s="70">
        <v>3</v>
      </c>
      <c r="AK58" s="246">
        <f>+AJ58/AJ59</f>
        <v>1.6129032258064516E-2</v>
      </c>
      <c r="AL58" s="198"/>
      <c r="AM58" s="70">
        <v>0</v>
      </c>
      <c r="AN58" s="246">
        <f>+AM58/AM59</f>
        <v>0</v>
      </c>
      <c r="AO58" s="198"/>
      <c r="AP58" s="70">
        <v>0</v>
      </c>
      <c r="AQ58" s="246">
        <f>+AP58/AP59</f>
        <v>0</v>
      </c>
      <c r="AR58" s="198"/>
      <c r="AS58" s="70">
        <v>1</v>
      </c>
      <c r="AT58" s="246">
        <f>+AS58/AS59</f>
        <v>6.2111801242236021E-3</v>
      </c>
      <c r="AU58" s="198"/>
      <c r="AV58" s="70">
        <v>0</v>
      </c>
      <c r="AW58" s="246">
        <f>+AV58/AV59</f>
        <v>0</v>
      </c>
      <c r="AX58" s="198"/>
      <c r="AY58" s="70">
        <v>0</v>
      </c>
      <c r="AZ58" s="246">
        <f>+AY58/AY59</f>
        <v>0</v>
      </c>
      <c r="BA58" s="198"/>
      <c r="BB58" s="70">
        <v>0</v>
      </c>
      <c r="BC58" s="246">
        <f>+BB58/BB59</f>
        <v>0</v>
      </c>
      <c r="BD58" s="198"/>
      <c r="BE58" s="70">
        <v>0</v>
      </c>
      <c r="BF58" s="246">
        <f>+BE58/BE59</f>
        <v>0</v>
      </c>
      <c r="BG58" s="198"/>
      <c r="BH58" s="70">
        <v>0</v>
      </c>
      <c r="BI58" s="246">
        <f>+BH58/BH59</f>
        <v>0</v>
      </c>
      <c r="BJ58" s="198"/>
      <c r="BK58" s="70">
        <v>0</v>
      </c>
      <c r="BL58" s="246">
        <f>+BK58/BK59</f>
        <v>0</v>
      </c>
      <c r="BM58" s="198" t="s">
        <v>213</v>
      </c>
      <c r="BN58" s="70">
        <v>0</v>
      </c>
      <c r="BO58" s="246">
        <f>+BN58/BN59</f>
        <v>0</v>
      </c>
      <c r="BP58" s="198" t="s">
        <v>213</v>
      </c>
      <c r="BQ58" s="70">
        <v>0</v>
      </c>
      <c r="BR58" s="246">
        <f>+BQ58/BQ59</f>
        <v>0</v>
      </c>
      <c r="BS58" s="198" t="s">
        <v>213</v>
      </c>
      <c r="BT58" s="70">
        <f t="shared" si="0"/>
        <v>0</v>
      </c>
      <c r="BU58" s="70">
        <v>0</v>
      </c>
      <c r="BV58" s="242">
        <v>0</v>
      </c>
      <c r="BW58" s="73" t="s">
        <v>226</v>
      </c>
      <c r="BX58" s="70">
        <v>0</v>
      </c>
      <c r="BY58" s="242">
        <v>0</v>
      </c>
      <c r="BZ58" s="73" t="s">
        <v>226</v>
      </c>
      <c r="CA58" s="70">
        <v>0</v>
      </c>
      <c r="CB58" s="242">
        <v>0</v>
      </c>
      <c r="CC58" s="73" t="s">
        <v>226</v>
      </c>
      <c r="CD58" s="70">
        <v>0</v>
      </c>
      <c r="CE58" s="242">
        <v>0</v>
      </c>
      <c r="CF58" s="73" t="s">
        <v>226</v>
      </c>
      <c r="CG58" s="70">
        <v>0</v>
      </c>
      <c r="CH58" s="242">
        <v>0</v>
      </c>
      <c r="CI58" s="73" t="s">
        <v>226</v>
      </c>
      <c r="CJ58" s="70">
        <v>0</v>
      </c>
      <c r="CK58" s="242">
        <v>0</v>
      </c>
      <c r="CL58" s="73" t="s">
        <v>226</v>
      </c>
      <c r="CM58" s="70">
        <f t="shared" si="1"/>
        <v>0</v>
      </c>
      <c r="CN58" s="70">
        <v>0</v>
      </c>
      <c r="CO58" s="233">
        <v>0</v>
      </c>
      <c r="CP58" s="232" t="s">
        <v>337</v>
      </c>
      <c r="CQ58" s="70">
        <v>0</v>
      </c>
      <c r="CR58" s="233">
        <v>0</v>
      </c>
      <c r="CS58" s="232" t="s">
        <v>337</v>
      </c>
      <c r="CT58" s="70">
        <v>0</v>
      </c>
      <c r="CU58" s="233">
        <v>0</v>
      </c>
      <c r="CV58" s="232" t="s">
        <v>337</v>
      </c>
      <c r="CW58" s="70">
        <v>0</v>
      </c>
      <c r="CX58" s="233">
        <v>0</v>
      </c>
      <c r="CY58" s="232" t="s">
        <v>337</v>
      </c>
      <c r="CZ58" s="70">
        <v>0</v>
      </c>
      <c r="DA58" s="233">
        <v>0</v>
      </c>
      <c r="DB58" s="232" t="s">
        <v>337</v>
      </c>
      <c r="DC58" s="103">
        <v>0</v>
      </c>
      <c r="DD58" s="233">
        <f>+DC58/DC59</f>
        <v>0</v>
      </c>
      <c r="DF58" s="70">
        <f t="shared" si="2"/>
        <v>0</v>
      </c>
      <c r="DG58" s="267">
        <f t="shared" ref="DG58" si="26">DF58/DF59</f>
        <v>0</v>
      </c>
      <c r="DH58" s="103">
        <v>0</v>
      </c>
      <c r="DI58" s="233">
        <f>+DH58/DH59</f>
        <v>0</v>
      </c>
      <c r="DK58" s="101">
        <v>0</v>
      </c>
      <c r="DL58" s="233">
        <f>+DK58/DK59</f>
        <v>0</v>
      </c>
      <c r="DM58" s="110">
        <v>0</v>
      </c>
      <c r="DN58" s="233">
        <f>+DM58/DM59</f>
        <v>0</v>
      </c>
    </row>
    <row r="59" spans="1:118" ht="18" customHeight="1" x14ac:dyDescent="0.2">
      <c r="A59" s="195"/>
      <c r="B59" s="69" t="s">
        <v>93</v>
      </c>
      <c r="C59" s="70">
        <v>1136</v>
      </c>
      <c r="D59" s="249"/>
      <c r="E59" s="71"/>
      <c r="F59" s="70">
        <v>257</v>
      </c>
      <c r="G59" s="249"/>
      <c r="H59" s="71"/>
      <c r="I59" s="70">
        <v>204</v>
      </c>
      <c r="J59" s="249"/>
      <c r="K59" s="71"/>
      <c r="L59" s="70">
        <v>188</v>
      </c>
      <c r="M59" s="249"/>
      <c r="N59" s="243"/>
      <c r="O59" s="70">
        <v>199</v>
      </c>
      <c r="P59" s="249"/>
      <c r="Q59" s="243"/>
      <c r="R59" s="70">
        <v>262</v>
      </c>
      <c r="S59" s="249"/>
      <c r="T59" s="243"/>
      <c r="U59" s="70">
        <v>190</v>
      </c>
      <c r="V59" s="249"/>
      <c r="W59" s="243"/>
      <c r="X59" s="70">
        <v>187</v>
      </c>
      <c r="Y59" s="249"/>
      <c r="Z59" s="199"/>
      <c r="AA59" s="70">
        <v>182</v>
      </c>
      <c r="AB59" s="249"/>
      <c r="AC59" s="199"/>
      <c r="AD59" s="70">
        <v>221</v>
      </c>
      <c r="AE59" s="249"/>
      <c r="AF59" s="199"/>
      <c r="AG59" s="70">
        <v>172</v>
      </c>
      <c r="AH59" s="249"/>
      <c r="AI59" s="199"/>
      <c r="AJ59" s="70">
        <v>186</v>
      </c>
      <c r="AK59" s="247"/>
      <c r="AL59" s="199"/>
      <c r="AM59" s="70">
        <v>176</v>
      </c>
      <c r="AN59" s="247"/>
      <c r="AO59" s="199"/>
      <c r="AP59" s="70">
        <v>164</v>
      </c>
      <c r="AQ59" s="247"/>
      <c r="AR59" s="199"/>
      <c r="AS59" s="70">
        <v>161</v>
      </c>
      <c r="AT59" s="247"/>
      <c r="AU59" s="199"/>
      <c r="AV59" s="70">
        <v>149</v>
      </c>
      <c r="AW59" s="247"/>
      <c r="AX59" s="199"/>
      <c r="AY59" s="70">
        <v>142</v>
      </c>
      <c r="AZ59" s="247"/>
      <c r="BA59" s="199"/>
      <c r="BB59" s="70">
        <v>148</v>
      </c>
      <c r="BC59" s="247"/>
      <c r="BD59" s="199"/>
      <c r="BE59" s="70">
        <v>132</v>
      </c>
      <c r="BF59" s="247"/>
      <c r="BG59" s="199"/>
      <c r="BH59" s="70">
        <v>156</v>
      </c>
      <c r="BI59" s="247"/>
      <c r="BJ59" s="199"/>
      <c r="BK59" s="70">
        <v>111</v>
      </c>
      <c r="BL59" s="247"/>
      <c r="BM59" s="199"/>
      <c r="BN59" s="70">
        <v>113</v>
      </c>
      <c r="BO59" s="247"/>
      <c r="BP59" s="199"/>
      <c r="BQ59" s="70">
        <v>124</v>
      </c>
      <c r="BR59" s="247"/>
      <c r="BS59" s="199"/>
      <c r="BT59" s="70">
        <f t="shared" si="0"/>
        <v>784</v>
      </c>
      <c r="BU59" s="70">
        <v>120</v>
      </c>
      <c r="BV59" s="243"/>
      <c r="BW59" s="72"/>
      <c r="BX59" s="70">
        <v>154</v>
      </c>
      <c r="BY59" s="243"/>
      <c r="BZ59" s="72"/>
      <c r="CA59" s="70">
        <v>131</v>
      </c>
      <c r="CB59" s="243"/>
      <c r="CC59" s="72"/>
      <c r="CD59" s="70">
        <v>136</v>
      </c>
      <c r="CE59" s="243"/>
      <c r="CF59" s="72"/>
      <c r="CG59" s="70">
        <v>181</v>
      </c>
      <c r="CH59" s="243"/>
      <c r="CI59" s="72"/>
      <c r="CJ59" s="70">
        <v>142</v>
      </c>
      <c r="CK59" s="243"/>
      <c r="CL59" s="72"/>
      <c r="CM59" s="70">
        <f t="shared" si="1"/>
        <v>864</v>
      </c>
      <c r="CN59" s="70">
        <v>89</v>
      </c>
      <c r="CO59" s="234"/>
      <c r="CP59" s="232"/>
      <c r="CQ59" s="70">
        <v>140</v>
      </c>
      <c r="CR59" s="234"/>
      <c r="CS59" s="232"/>
      <c r="CT59" s="70">
        <v>181</v>
      </c>
      <c r="CU59" s="234"/>
      <c r="CV59" s="232"/>
      <c r="CW59" s="70">
        <v>110</v>
      </c>
      <c r="CX59" s="234"/>
      <c r="CY59" s="232"/>
      <c r="CZ59" s="70">
        <v>76</v>
      </c>
      <c r="DA59" s="234"/>
      <c r="DB59" s="232"/>
      <c r="DC59" s="103">
        <v>136</v>
      </c>
      <c r="DD59" s="234"/>
      <c r="DF59" s="70">
        <f t="shared" si="2"/>
        <v>732</v>
      </c>
      <c r="DG59" s="268"/>
      <c r="DH59" s="103">
        <v>168</v>
      </c>
      <c r="DI59" s="234"/>
      <c r="DK59" s="103">
        <v>182</v>
      </c>
      <c r="DL59" s="234"/>
      <c r="DM59" s="108">
        <v>168</v>
      </c>
      <c r="DN59" s="234"/>
    </row>
    <row r="60" spans="1:118" ht="33.75" customHeight="1" x14ac:dyDescent="0.2">
      <c r="A60" s="195" t="s">
        <v>94</v>
      </c>
      <c r="B60" s="69" t="s">
        <v>95</v>
      </c>
      <c r="C60" s="70">
        <v>1</v>
      </c>
      <c r="D60" s="248">
        <f>+C60/C61</f>
        <v>8.8028169014084509E-4</v>
      </c>
      <c r="E60" s="71"/>
      <c r="F60" s="70">
        <v>0</v>
      </c>
      <c r="G60" s="248">
        <f>+F60/F61</f>
        <v>0</v>
      </c>
      <c r="H60" s="71"/>
      <c r="I60" s="70">
        <v>0</v>
      </c>
      <c r="J60" s="248">
        <f>+I60/I61</f>
        <v>0</v>
      </c>
      <c r="K60" s="71"/>
      <c r="L60" s="70">
        <v>0</v>
      </c>
      <c r="M60" s="248">
        <f>+L60/L61</f>
        <v>0</v>
      </c>
      <c r="N60" s="242"/>
      <c r="O60" s="70">
        <v>0</v>
      </c>
      <c r="P60" s="248">
        <f>+O60/O61</f>
        <v>0</v>
      </c>
      <c r="Q60" s="242"/>
      <c r="R60" s="70">
        <v>0</v>
      </c>
      <c r="S60" s="248">
        <f>+R60/R61</f>
        <v>0</v>
      </c>
      <c r="T60" s="242"/>
      <c r="U60" s="70">
        <v>1</v>
      </c>
      <c r="V60" s="248">
        <f>+U60/U61</f>
        <v>5.263157894736842E-3</v>
      </c>
      <c r="W60" s="242"/>
      <c r="X60" s="70">
        <v>0</v>
      </c>
      <c r="Y60" s="248">
        <f>+X60/X61</f>
        <v>0</v>
      </c>
      <c r="Z60" s="198" t="s">
        <v>183</v>
      </c>
      <c r="AA60" s="70">
        <v>0</v>
      </c>
      <c r="AB60" s="248">
        <f>+AA60/AA61</f>
        <v>0</v>
      </c>
      <c r="AC60" s="198"/>
      <c r="AD60" s="70">
        <v>0</v>
      </c>
      <c r="AE60" s="248">
        <f>+AD60/AD61</f>
        <v>0</v>
      </c>
      <c r="AF60" s="198"/>
      <c r="AG60" s="70">
        <v>0</v>
      </c>
      <c r="AH60" s="248">
        <f>+AG60/AG61</f>
        <v>0</v>
      </c>
      <c r="AI60" s="198"/>
      <c r="AJ60" s="70">
        <v>0</v>
      </c>
      <c r="AK60" s="248">
        <f>+AJ60/AJ61</f>
        <v>0</v>
      </c>
      <c r="AL60" s="198"/>
      <c r="AM60" s="70">
        <v>0</v>
      </c>
      <c r="AN60" s="248">
        <f>+AM60/AM61</f>
        <v>0</v>
      </c>
      <c r="AO60" s="198"/>
      <c r="AP60" s="70">
        <v>0</v>
      </c>
      <c r="AQ60" s="248">
        <f>+AP60/AP61</f>
        <v>0</v>
      </c>
      <c r="AR60" s="198"/>
      <c r="AS60" s="70">
        <v>0</v>
      </c>
      <c r="AT60" s="248">
        <f>+AS60/AS61</f>
        <v>0</v>
      </c>
      <c r="AU60" s="198"/>
      <c r="AV60" s="70"/>
      <c r="AW60" s="248">
        <f>+AV60/AV61</f>
        <v>0</v>
      </c>
      <c r="AX60" s="198"/>
      <c r="AY60" s="70"/>
      <c r="AZ60" s="248">
        <f>+AY60/AY61</f>
        <v>0</v>
      </c>
      <c r="BA60" s="198"/>
      <c r="BB60" s="70">
        <v>0</v>
      </c>
      <c r="BC60" s="248">
        <f>+BB60/BB61</f>
        <v>0</v>
      </c>
      <c r="BD60" s="198"/>
      <c r="BE60" s="70">
        <v>0</v>
      </c>
      <c r="BF60" s="248">
        <f>+BE60/BE61</f>
        <v>0</v>
      </c>
      <c r="BG60" s="198"/>
      <c r="BH60" s="70">
        <v>0</v>
      </c>
      <c r="BI60" s="248">
        <f>+BH60/BH61</f>
        <v>0</v>
      </c>
      <c r="BJ60" s="198"/>
      <c r="BK60" s="70">
        <v>0</v>
      </c>
      <c r="BL60" s="248">
        <f>+BK60/BK61</f>
        <v>0</v>
      </c>
      <c r="BM60" s="198" t="s">
        <v>213</v>
      </c>
      <c r="BN60" s="70">
        <v>0</v>
      </c>
      <c r="BO60" s="248">
        <f>+BN60/BN61</f>
        <v>0</v>
      </c>
      <c r="BP60" s="198" t="s">
        <v>213</v>
      </c>
      <c r="BQ60" s="70">
        <v>0</v>
      </c>
      <c r="BR60" s="248">
        <f>+BQ60/BQ61</f>
        <v>0</v>
      </c>
      <c r="BS60" s="198" t="s">
        <v>213</v>
      </c>
      <c r="BT60" s="70">
        <f t="shared" si="0"/>
        <v>0</v>
      </c>
      <c r="BU60" s="70">
        <v>0</v>
      </c>
      <c r="BV60" s="242">
        <v>0</v>
      </c>
      <c r="BW60" s="73" t="s">
        <v>226</v>
      </c>
      <c r="BX60" s="70">
        <v>0</v>
      </c>
      <c r="BY60" s="242">
        <v>0</v>
      </c>
      <c r="BZ60" s="73" t="s">
        <v>226</v>
      </c>
      <c r="CA60" s="70">
        <v>0</v>
      </c>
      <c r="CB60" s="242">
        <v>0</v>
      </c>
      <c r="CC60" s="73" t="s">
        <v>226</v>
      </c>
      <c r="CD60" s="70">
        <v>0</v>
      </c>
      <c r="CE60" s="242">
        <v>0</v>
      </c>
      <c r="CF60" s="73" t="s">
        <v>226</v>
      </c>
      <c r="CG60" s="70">
        <v>0</v>
      </c>
      <c r="CH60" s="242">
        <v>0</v>
      </c>
      <c r="CI60" s="73" t="s">
        <v>226</v>
      </c>
      <c r="CJ60" s="70">
        <v>0</v>
      </c>
      <c r="CK60" s="242">
        <v>0</v>
      </c>
      <c r="CL60" s="73" t="s">
        <v>226</v>
      </c>
      <c r="CM60" s="70">
        <f t="shared" si="1"/>
        <v>0</v>
      </c>
      <c r="CN60" s="70">
        <v>0</v>
      </c>
      <c r="CO60" s="233">
        <v>0</v>
      </c>
      <c r="CP60" s="232" t="s">
        <v>338</v>
      </c>
      <c r="CQ60" s="70">
        <v>0</v>
      </c>
      <c r="CR60" s="233">
        <v>0</v>
      </c>
      <c r="CS60" s="232" t="s">
        <v>338</v>
      </c>
      <c r="CT60" s="70">
        <v>1</v>
      </c>
      <c r="CU60" s="239">
        <f>CT60/CT61</f>
        <v>5.5248618784530384E-3</v>
      </c>
      <c r="CV60" s="232" t="s">
        <v>389</v>
      </c>
      <c r="CW60" s="70">
        <v>0</v>
      </c>
      <c r="CX60" s="239">
        <f>CW60/CW61</f>
        <v>0</v>
      </c>
      <c r="CY60" s="232" t="s">
        <v>410</v>
      </c>
      <c r="CZ60" s="70">
        <v>0</v>
      </c>
      <c r="DA60" s="239">
        <f>CZ60/CZ61</f>
        <v>0</v>
      </c>
      <c r="DB60" s="232" t="s">
        <v>410</v>
      </c>
      <c r="DC60" s="70">
        <v>0</v>
      </c>
      <c r="DD60" s="239">
        <f>DC60/DC61</f>
        <v>0</v>
      </c>
      <c r="DF60" s="70">
        <f t="shared" si="2"/>
        <v>1</v>
      </c>
      <c r="DG60" s="267">
        <f t="shared" ref="DG60" si="27">DF60/DF61</f>
        <v>1.366120218579235E-3</v>
      </c>
      <c r="DH60" s="70">
        <v>0</v>
      </c>
      <c r="DI60" s="239">
        <f>DH60/DH61</f>
        <v>0</v>
      </c>
      <c r="DK60" s="103">
        <v>1</v>
      </c>
      <c r="DL60" s="239">
        <f>DK60/DK61</f>
        <v>5.4945054945054949E-3</v>
      </c>
      <c r="DM60" s="108">
        <v>0</v>
      </c>
      <c r="DN60" s="239">
        <f>DM60/DM61</f>
        <v>0</v>
      </c>
    </row>
    <row r="61" spans="1:118" ht="33" customHeight="1" x14ac:dyDescent="0.2">
      <c r="A61" s="195"/>
      <c r="B61" s="69" t="s">
        <v>93</v>
      </c>
      <c r="C61" s="70">
        <v>1136</v>
      </c>
      <c r="D61" s="249"/>
      <c r="E61" s="71"/>
      <c r="F61" s="70">
        <v>257</v>
      </c>
      <c r="G61" s="249"/>
      <c r="H61" s="71"/>
      <c r="I61" s="70">
        <v>204</v>
      </c>
      <c r="J61" s="249"/>
      <c r="K61" s="71"/>
      <c r="L61" s="70">
        <v>188</v>
      </c>
      <c r="M61" s="249"/>
      <c r="N61" s="243"/>
      <c r="O61" s="70">
        <v>199</v>
      </c>
      <c r="P61" s="249"/>
      <c r="Q61" s="243"/>
      <c r="R61" s="70">
        <v>262</v>
      </c>
      <c r="S61" s="249"/>
      <c r="T61" s="243"/>
      <c r="U61" s="70">
        <v>190</v>
      </c>
      <c r="V61" s="249"/>
      <c r="W61" s="243"/>
      <c r="X61" s="70">
        <v>187</v>
      </c>
      <c r="Y61" s="249"/>
      <c r="Z61" s="199"/>
      <c r="AA61" s="70">
        <v>182</v>
      </c>
      <c r="AB61" s="249"/>
      <c r="AC61" s="199"/>
      <c r="AD61" s="70">
        <v>221</v>
      </c>
      <c r="AE61" s="249"/>
      <c r="AF61" s="199"/>
      <c r="AG61" s="70">
        <v>172</v>
      </c>
      <c r="AH61" s="249"/>
      <c r="AI61" s="199"/>
      <c r="AJ61" s="70">
        <v>186</v>
      </c>
      <c r="AK61" s="249"/>
      <c r="AL61" s="199"/>
      <c r="AM61" s="70">
        <v>176</v>
      </c>
      <c r="AN61" s="249"/>
      <c r="AO61" s="199"/>
      <c r="AP61" s="70">
        <v>164</v>
      </c>
      <c r="AQ61" s="249"/>
      <c r="AR61" s="199"/>
      <c r="AS61" s="70">
        <v>161</v>
      </c>
      <c r="AT61" s="249"/>
      <c r="AU61" s="199"/>
      <c r="AV61" s="70">
        <v>149</v>
      </c>
      <c r="AW61" s="249"/>
      <c r="AX61" s="199"/>
      <c r="AY61" s="70">
        <v>142</v>
      </c>
      <c r="AZ61" s="249"/>
      <c r="BA61" s="199"/>
      <c r="BB61" s="70">
        <v>148</v>
      </c>
      <c r="BC61" s="249"/>
      <c r="BD61" s="199"/>
      <c r="BE61" s="70">
        <v>132</v>
      </c>
      <c r="BF61" s="249"/>
      <c r="BG61" s="199"/>
      <c r="BH61" s="70">
        <v>156</v>
      </c>
      <c r="BI61" s="249"/>
      <c r="BJ61" s="199"/>
      <c r="BK61" s="70">
        <v>111</v>
      </c>
      <c r="BL61" s="249"/>
      <c r="BM61" s="199"/>
      <c r="BN61" s="70">
        <v>113</v>
      </c>
      <c r="BO61" s="249"/>
      <c r="BP61" s="199"/>
      <c r="BQ61" s="70">
        <v>124</v>
      </c>
      <c r="BR61" s="249"/>
      <c r="BS61" s="199"/>
      <c r="BT61" s="70">
        <f t="shared" si="0"/>
        <v>784</v>
      </c>
      <c r="BU61" s="70">
        <v>120</v>
      </c>
      <c r="BV61" s="243"/>
      <c r="BW61" s="72"/>
      <c r="BX61" s="70">
        <v>154</v>
      </c>
      <c r="BY61" s="243"/>
      <c r="BZ61" s="72"/>
      <c r="CA61" s="70">
        <v>131</v>
      </c>
      <c r="CB61" s="243"/>
      <c r="CC61" s="72"/>
      <c r="CD61" s="70">
        <v>136</v>
      </c>
      <c r="CE61" s="243"/>
      <c r="CF61" s="72"/>
      <c r="CG61" s="70">
        <v>181</v>
      </c>
      <c r="CH61" s="243"/>
      <c r="CI61" s="72"/>
      <c r="CJ61" s="70">
        <v>142</v>
      </c>
      <c r="CK61" s="243"/>
      <c r="CL61" s="72"/>
      <c r="CM61" s="70">
        <f t="shared" si="1"/>
        <v>864</v>
      </c>
      <c r="CN61" s="70">
        <v>89</v>
      </c>
      <c r="CO61" s="234"/>
      <c r="CP61" s="232"/>
      <c r="CQ61" s="70">
        <v>140</v>
      </c>
      <c r="CR61" s="234"/>
      <c r="CS61" s="232"/>
      <c r="CT61" s="70">
        <v>181</v>
      </c>
      <c r="CU61" s="240"/>
      <c r="CV61" s="232"/>
      <c r="CW61" s="70">
        <v>110</v>
      </c>
      <c r="CX61" s="240"/>
      <c r="CY61" s="232"/>
      <c r="CZ61" s="70">
        <v>76</v>
      </c>
      <c r="DA61" s="240"/>
      <c r="DB61" s="232"/>
      <c r="DC61" s="70">
        <v>136</v>
      </c>
      <c r="DD61" s="240"/>
      <c r="DF61" s="70">
        <f t="shared" si="2"/>
        <v>732</v>
      </c>
      <c r="DG61" s="268"/>
      <c r="DH61" s="70">
        <v>168</v>
      </c>
      <c r="DI61" s="240"/>
      <c r="DK61" s="103">
        <v>182</v>
      </c>
      <c r="DL61" s="240"/>
      <c r="DM61" s="108">
        <v>168</v>
      </c>
      <c r="DN61" s="240"/>
    </row>
    <row r="62" spans="1:118" ht="45" customHeight="1" x14ac:dyDescent="0.2">
      <c r="A62" s="195" t="s">
        <v>96</v>
      </c>
      <c r="B62" s="99" t="s">
        <v>97</v>
      </c>
      <c r="C62" s="75">
        <v>6</v>
      </c>
      <c r="D62" s="248">
        <f>+C62/C63</f>
        <v>1.7191484484685253E-4</v>
      </c>
      <c r="E62" s="71"/>
      <c r="F62" s="75">
        <v>0</v>
      </c>
      <c r="G62" s="248">
        <f>+F62/F63</f>
        <v>0</v>
      </c>
      <c r="H62" s="71"/>
      <c r="I62" s="75">
        <v>1</v>
      </c>
      <c r="J62" s="248">
        <f>+I62/I63</f>
        <v>1.8621973929236498E-4</v>
      </c>
      <c r="K62" s="71"/>
      <c r="L62" s="75">
        <v>2</v>
      </c>
      <c r="M62" s="248">
        <f>+L62/L63</f>
        <v>2.8739761459979884E-4</v>
      </c>
      <c r="N62" s="242"/>
      <c r="O62" s="75">
        <v>0</v>
      </c>
      <c r="P62" s="248">
        <f>+O62/O63</f>
        <v>0</v>
      </c>
      <c r="Q62" s="242"/>
      <c r="R62" s="75">
        <v>0</v>
      </c>
      <c r="S62" s="248">
        <f>+R62/R63</f>
        <v>0</v>
      </c>
      <c r="T62" s="242" t="s">
        <v>174</v>
      </c>
      <c r="U62" s="75">
        <v>0</v>
      </c>
      <c r="V62" s="248">
        <f>+U62/U63</f>
        <v>0</v>
      </c>
      <c r="W62" s="242"/>
      <c r="X62" s="75">
        <v>0</v>
      </c>
      <c r="Y62" s="248">
        <f>+X62/X63</f>
        <v>0</v>
      </c>
      <c r="Z62" s="242"/>
      <c r="AA62" s="75">
        <v>0</v>
      </c>
      <c r="AB62" s="248">
        <f>+AA62/AA63</f>
        <v>0</v>
      </c>
      <c r="AC62" s="242"/>
      <c r="AD62" s="75">
        <v>0</v>
      </c>
      <c r="AE62" s="248">
        <f>+AD62/AD63</f>
        <v>0</v>
      </c>
      <c r="AF62" s="242"/>
      <c r="AG62" s="75">
        <v>0</v>
      </c>
      <c r="AH62" s="248">
        <f>+AG62/AG63</f>
        <v>0</v>
      </c>
      <c r="AI62" s="242"/>
      <c r="AJ62" s="75">
        <v>1</v>
      </c>
      <c r="AK62" s="248">
        <f>+AJ62/AJ63</f>
        <v>1.4511681903932666E-4</v>
      </c>
      <c r="AL62" s="242"/>
      <c r="AM62" s="75">
        <v>2</v>
      </c>
      <c r="AN62" s="256">
        <f>+AM62/AM63</f>
        <v>4.5589240939138365E-4</v>
      </c>
      <c r="AO62" s="242"/>
      <c r="AP62" s="75">
        <v>1</v>
      </c>
      <c r="AQ62" s="256">
        <f>+AP62/AP63</f>
        <v>2.4850894632206757E-4</v>
      </c>
      <c r="AR62" s="242"/>
      <c r="AS62" s="75">
        <v>3</v>
      </c>
      <c r="AT62" s="256">
        <f>+AS62/AS63</f>
        <v>6.3993174061433445E-4</v>
      </c>
      <c r="AU62" s="242"/>
      <c r="AV62" s="75">
        <v>1</v>
      </c>
      <c r="AW62" s="256">
        <f>+AV62/AV63</f>
        <v>2.139495079161318E-4</v>
      </c>
      <c r="AX62" s="242"/>
      <c r="AY62" s="75">
        <v>0</v>
      </c>
      <c r="AZ62" s="256">
        <f>+AY62/AY63</f>
        <v>0</v>
      </c>
      <c r="BA62" s="242"/>
      <c r="BB62" s="75">
        <v>0</v>
      </c>
      <c r="BC62" s="256">
        <f>+BB62/BB63</f>
        <v>0</v>
      </c>
      <c r="BD62" s="198" t="s">
        <v>218</v>
      </c>
      <c r="BE62" s="75">
        <v>0</v>
      </c>
      <c r="BF62" s="256">
        <f>+BE62/BE63</f>
        <v>0</v>
      </c>
      <c r="BG62" s="198" t="s">
        <v>218</v>
      </c>
      <c r="BH62" s="75">
        <v>1</v>
      </c>
      <c r="BI62" s="256">
        <f>+BH62/BH63</f>
        <v>2.5252525252525253E-4</v>
      </c>
      <c r="BJ62" s="198"/>
      <c r="BK62" s="75">
        <v>0</v>
      </c>
      <c r="BL62" s="256">
        <f>+BK62/BK63</f>
        <v>0</v>
      </c>
      <c r="BM62" s="198" t="s">
        <v>213</v>
      </c>
      <c r="BN62" s="75">
        <v>0</v>
      </c>
      <c r="BO62" s="256">
        <f>+BN62/BN63</f>
        <v>0</v>
      </c>
      <c r="BP62" s="198" t="s">
        <v>213</v>
      </c>
      <c r="BQ62" s="75">
        <v>0</v>
      </c>
      <c r="BR62" s="256">
        <f>+BQ62/BQ63</f>
        <v>0</v>
      </c>
      <c r="BS62" s="198" t="s">
        <v>213</v>
      </c>
      <c r="BT62" s="75">
        <f t="shared" si="0"/>
        <v>1</v>
      </c>
      <c r="BU62" s="75">
        <v>0</v>
      </c>
      <c r="BV62" s="242">
        <v>0</v>
      </c>
      <c r="BW62" s="102" t="s">
        <v>227</v>
      </c>
      <c r="BX62" s="103">
        <v>0</v>
      </c>
      <c r="BY62" s="242">
        <v>0</v>
      </c>
      <c r="BZ62" s="102" t="s">
        <v>227</v>
      </c>
      <c r="CA62" s="103">
        <v>0</v>
      </c>
      <c r="CB62" s="242">
        <v>0</v>
      </c>
      <c r="CC62" s="102" t="s">
        <v>227</v>
      </c>
      <c r="CD62" s="103">
        <v>2</v>
      </c>
      <c r="CE62" s="250">
        <f>CD62/CD63</f>
        <v>4.8169556840077071E-4</v>
      </c>
      <c r="CF62" s="198" t="s">
        <v>282</v>
      </c>
      <c r="CG62" s="103">
        <v>1</v>
      </c>
      <c r="CH62" s="250">
        <f>CG62/CG63</f>
        <v>2.5252525252525253E-4</v>
      </c>
      <c r="CI62" s="198" t="s">
        <v>305</v>
      </c>
      <c r="CJ62" s="103">
        <v>0</v>
      </c>
      <c r="CK62" s="250">
        <v>0</v>
      </c>
      <c r="CL62" s="102" t="s">
        <v>227</v>
      </c>
      <c r="CM62" s="103">
        <f t="shared" si="1"/>
        <v>3</v>
      </c>
      <c r="CN62" s="103">
        <v>0</v>
      </c>
      <c r="CO62" s="233">
        <f>CN62/CN63</f>
        <v>0</v>
      </c>
      <c r="CP62" s="232" t="s">
        <v>339</v>
      </c>
      <c r="CQ62" s="103">
        <v>0</v>
      </c>
      <c r="CR62" s="233">
        <f>CQ62/CQ63</f>
        <v>0</v>
      </c>
      <c r="CS62" s="232" t="s">
        <v>339</v>
      </c>
      <c r="CT62" s="103">
        <v>3</v>
      </c>
      <c r="CU62" s="235">
        <f>(CT62/CT63)*1000</f>
        <v>0.81146875845279953</v>
      </c>
      <c r="CV62" s="232" t="s">
        <v>412</v>
      </c>
      <c r="CW62" s="103">
        <v>1</v>
      </c>
      <c r="CX62" s="260">
        <f>(CW62/CW63)*1000</f>
        <v>0.39277297721916737</v>
      </c>
      <c r="CY62" s="232" t="s">
        <v>413</v>
      </c>
      <c r="CZ62" s="103">
        <v>1</v>
      </c>
      <c r="DA62" s="235">
        <f>(CZ62/CZ63)*1000</f>
        <v>0.30712530712530711</v>
      </c>
      <c r="DB62" s="232" t="s">
        <v>455</v>
      </c>
      <c r="DC62" s="103">
        <v>1</v>
      </c>
      <c r="DD62" s="235">
        <f>(DC62/DC63)*1000</f>
        <v>0.23490721165139772</v>
      </c>
      <c r="DF62" s="103">
        <f t="shared" si="2"/>
        <v>6</v>
      </c>
      <c r="DG62" s="267">
        <f t="shared" ref="DG62" si="28">DF62/DF63</f>
        <v>2.9631092893476222E-4</v>
      </c>
      <c r="DH62" s="103">
        <v>1</v>
      </c>
      <c r="DI62" s="235">
        <f>(DH62/DH63)*1000</f>
        <v>0.19102196752626552</v>
      </c>
      <c r="DK62" s="104">
        <v>0</v>
      </c>
      <c r="DL62" s="235">
        <f>(DK62/DK63)*1000</f>
        <v>0</v>
      </c>
      <c r="DM62" s="115">
        <v>0</v>
      </c>
      <c r="DN62" s="235">
        <f>(DM62/DM63)*1000</f>
        <v>0</v>
      </c>
    </row>
    <row r="63" spans="1:118" ht="57.75" customHeight="1" x14ac:dyDescent="0.2">
      <c r="A63" s="195"/>
      <c r="B63" s="99" t="s">
        <v>98</v>
      </c>
      <c r="C63" s="75">
        <v>34901</v>
      </c>
      <c r="D63" s="249"/>
      <c r="E63" s="71"/>
      <c r="F63" s="75">
        <v>7656</v>
      </c>
      <c r="G63" s="249"/>
      <c r="H63" s="71"/>
      <c r="I63" s="75">
        <v>5370</v>
      </c>
      <c r="J63" s="249"/>
      <c r="K63" s="71"/>
      <c r="L63" s="75">
        <v>6959</v>
      </c>
      <c r="M63" s="249"/>
      <c r="N63" s="243"/>
      <c r="O63" s="75">
        <v>4317</v>
      </c>
      <c r="P63" s="249"/>
      <c r="Q63" s="243"/>
      <c r="R63" s="75">
        <v>6410</v>
      </c>
      <c r="S63" s="249"/>
      <c r="T63" s="243"/>
      <c r="U63" s="75">
        <f>208+280+593+840+749+865+261+69+648+778</f>
        <v>5291</v>
      </c>
      <c r="V63" s="249"/>
      <c r="W63" s="243"/>
      <c r="X63" s="75">
        <v>6129</v>
      </c>
      <c r="Y63" s="249"/>
      <c r="Z63" s="243"/>
      <c r="AA63" s="75">
        <v>6408</v>
      </c>
      <c r="AB63" s="249"/>
      <c r="AC63" s="243"/>
      <c r="AD63" s="75">
        <v>7229</v>
      </c>
      <c r="AE63" s="249"/>
      <c r="AF63" s="243"/>
      <c r="AG63" s="75">
        <v>4023</v>
      </c>
      <c r="AH63" s="249"/>
      <c r="AI63" s="243"/>
      <c r="AJ63" s="75">
        <v>6891</v>
      </c>
      <c r="AK63" s="249"/>
      <c r="AL63" s="243"/>
      <c r="AM63" s="75">
        <v>4387</v>
      </c>
      <c r="AN63" s="257"/>
      <c r="AO63" s="243"/>
      <c r="AP63" s="75">
        <v>4024</v>
      </c>
      <c r="AQ63" s="257"/>
      <c r="AR63" s="243"/>
      <c r="AS63" s="75">
        <v>4688</v>
      </c>
      <c r="AT63" s="257"/>
      <c r="AU63" s="243"/>
      <c r="AV63" s="75">
        <v>4674</v>
      </c>
      <c r="AW63" s="257"/>
      <c r="AX63" s="243"/>
      <c r="AY63" s="75">
        <v>4077</v>
      </c>
      <c r="AZ63" s="257"/>
      <c r="BA63" s="243"/>
      <c r="BB63" s="75">
        <v>3397</v>
      </c>
      <c r="BC63" s="257"/>
      <c r="BD63" s="199"/>
      <c r="BE63" s="75">
        <v>3974</v>
      </c>
      <c r="BF63" s="257"/>
      <c r="BG63" s="199"/>
      <c r="BH63" s="75">
        <v>3960</v>
      </c>
      <c r="BI63" s="257"/>
      <c r="BJ63" s="199"/>
      <c r="BK63" s="75">
        <v>3344</v>
      </c>
      <c r="BL63" s="257"/>
      <c r="BM63" s="199"/>
      <c r="BN63" s="75">
        <v>4163</v>
      </c>
      <c r="BO63" s="257"/>
      <c r="BP63" s="199"/>
      <c r="BQ63" s="75">
        <v>3544</v>
      </c>
      <c r="BR63" s="257"/>
      <c r="BS63" s="199"/>
      <c r="BT63" s="75">
        <f t="shared" si="0"/>
        <v>22382</v>
      </c>
      <c r="BU63" s="75">
        <v>3977</v>
      </c>
      <c r="BV63" s="243"/>
      <c r="BW63" s="72"/>
      <c r="BX63" s="103">
        <v>3901</v>
      </c>
      <c r="BY63" s="243"/>
      <c r="BZ63" s="72"/>
      <c r="CA63" s="103">
        <v>3666</v>
      </c>
      <c r="CB63" s="243"/>
      <c r="CC63" s="72"/>
      <c r="CD63" s="103">
        <v>4152</v>
      </c>
      <c r="CE63" s="251"/>
      <c r="CF63" s="199"/>
      <c r="CG63" s="103">
        <v>3960</v>
      </c>
      <c r="CH63" s="251"/>
      <c r="CI63" s="199"/>
      <c r="CJ63" s="103">
        <v>3998</v>
      </c>
      <c r="CK63" s="251"/>
      <c r="CL63" s="72"/>
      <c r="CM63" s="103">
        <f t="shared" si="1"/>
        <v>23654</v>
      </c>
      <c r="CN63" s="103">
        <v>3019</v>
      </c>
      <c r="CO63" s="234"/>
      <c r="CP63" s="232"/>
      <c r="CQ63" s="103">
        <v>3474</v>
      </c>
      <c r="CR63" s="234"/>
      <c r="CS63" s="232"/>
      <c r="CT63" s="103">
        <v>3697</v>
      </c>
      <c r="CU63" s="236"/>
      <c r="CV63" s="232"/>
      <c r="CW63" s="103">
        <v>2546</v>
      </c>
      <c r="CX63" s="261"/>
      <c r="CY63" s="232"/>
      <c r="CZ63" s="103">
        <v>3256</v>
      </c>
      <c r="DA63" s="236"/>
      <c r="DB63" s="232"/>
      <c r="DC63" s="103">
        <v>4257</v>
      </c>
      <c r="DD63" s="236"/>
      <c r="DF63" s="103">
        <f t="shared" si="2"/>
        <v>20249</v>
      </c>
      <c r="DG63" s="268"/>
      <c r="DH63" s="103">
        <v>5235</v>
      </c>
      <c r="DI63" s="236"/>
      <c r="DK63" s="104">
        <v>3574</v>
      </c>
      <c r="DL63" s="236"/>
      <c r="DM63" s="108">
        <v>4396</v>
      </c>
      <c r="DN63" s="236"/>
    </row>
    <row r="64" spans="1:118" ht="38.25" customHeight="1" x14ac:dyDescent="0.2">
      <c r="A64" s="195" t="s">
        <v>99</v>
      </c>
      <c r="B64" s="99" t="s">
        <v>100</v>
      </c>
      <c r="C64" s="103">
        <v>1</v>
      </c>
      <c r="D64" s="248">
        <f>+C64/C65</f>
        <v>9.4482237339380199E-5</v>
      </c>
      <c r="E64" s="71"/>
      <c r="F64" s="103">
        <v>0</v>
      </c>
      <c r="G64" s="248">
        <f>+F64/F65</f>
        <v>0</v>
      </c>
      <c r="H64" s="71"/>
      <c r="I64" s="103">
        <v>0</v>
      </c>
      <c r="J64" s="248">
        <f>+I64/I65</f>
        <v>0</v>
      </c>
      <c r="K64" s="71"/>
      <c r="L64" s="103">
        <v>1</v>
      </c>
      <c r="M64" s="248">
        <f>+L64/L65</f>
        <v>5.3447354355959376E-4</v>
      </c>
      <c r="N64" s="242"/>
      <c r="O64" s="103">
        <v>0</v>
      </c>
      <c r="P64" s="248">
        <f>+O64/O65</f>
        <v>0</v>
      </c>
      <c r="Q64" s="242"/>
      <c r="R64" s="103">
        <v>0</v>
      </c>
      <c r="S64" s="248">
        <f>+R64/R65</f>
        <v>0</v>
      </c>
      <c r="T64" s="242" t="s">
        <v>174</v>
      </c>
      <c r="U64" s="103">
        <v>0</v>
      </c>
      <c r="V64" s="248">
        <f>+U64/U65</f>
        <v>0</v>
      </c>
      <c r="W64" s="242"/>
      <c r="X64" s="103">
        <v>0</v>
      </c>
      <c r="Y64" s="248">
        <f>+X64/X65</f>
        <v>0</v>
      </c>
      <c r="Z64" s="242"/>
      <c r="AA64" s="103">
        <v>0</v>
      </c>
      <c r="AB64" s="248">
        <f>+AA64/AA65</f>
        <v>0</v>
      </c>
      <c r="AC64" s="242"/>
      <c r="AD64" s="103">
        <v>0</v>
      </c>
      <c r="AE64" s="248">
        <f>+AD64/AD65</f>
        <v>0</v>
      </c>
      <c r="AF64" s="242"/>
      <c r="AG64" s="103">
        <v>0</v>
      </c>
      <c r="AH64" s="248">
        <f>+AG64/AG65</f>
        <v>0</v>
      </c>
      <c r="AI64" s="242"/>
      <c r="AJ64" s="103">
        <v>0</v>
      </c>
      <c r="AK64" s="248">
        <f>+AJ64/AJ65</f>
        <v>0</v>
      </c>
      <c r="AL64" s="242"/>
      <c r="AM64" s="103">
        <v>1</v>
      </c>
      <c r="AN64" s="256">
        <f>+AM64/AM65</f>
        <v>5.4229934924078093E-4</v>
      </c>
      <c r="AO64" s="242"/>
      <c r="AP64" s="103">
        <v>2</v>
      </c>
      <c r="AQ64" s="256">
        <f>+AP64/AP65</f>
        <v>1.0887316276537834E-3</v>
      </c>
      <c r="AR64" s="242"/>
      <c r="AS64" s="103">
        <v>0</v>
      </c>
      <c r="AT64" s="256">
        <f>+AS64/AS65</f>
        <v>0</v>
      </c>
      <c r="AU64" s="242"/>
      <c r="AV64" s="103">
        <v>0</v>
      </c>
      <c r="AW64" s="256">
        <f>+AV64/AV65</f>
        <v>0</v>
      </c>
      <c r="AX64" s="242"/>
      <c r="AY64" s="103">
        <v>2</v>
      </c>
      <c r="AZ64" s="256">
        <f>+AY64/AY65</f>
        <v>1.3477088948787063E-3</v>
      </c>
      <c r="BA64" s="242"/>
      <c r="BB64" s="103">
        <v>0</v>
      </c>
      <c r="BC64" s="256">
        <f>+BB64/BB65</f>
        <v>0</v>
      </c>
      <c r="BD64" s="198" t="s">
        <v>218</v>
      </c>
      <c r="BE64" s="103">
        <v>0</v>
      </c>
      <c r="BF64" s="256">
        <f>+BE64/BE65</f>
        <v>0</v>
      </c>
      <c r="BG64" s="198" t="s">
        <v>218</v>
      </c>
      <c r="BH64" s="103">
        <v>0</v>
      </c>
      <c r="BI64" s="256">
        <f>+BH64/BH65</f>
        <v>0</v>
      </c>
      <c r="BJ64" s="198"/>
      <c r="BK64" s="103">
        <v>0</v>
      </c>
      <c r="BL64" s="256">
        <f>+BK64/BK65</f>
        <v>0</v>
      </c>
      <c r="BM64" s="198" t="s">
        <v>213</v>
      </c>
      <c r="BN64" s="103">
        <v>0</v>
      </c>
      <c r="BO64" s="256">
        <f>+BN64/BN65</f>
        <v>0</v>
      </c>
      <c r="BP64" s="198" t="s">
        <v>213</v>
      </c>
      <c r="BQ64" s="103">
        <v>0</v>
      </c>
      <c r="BR64" s="256">
        <f>+BQ64/BQ65</f>
        <v>0</v>
      </c>
      <c r="BS64" s="198" t="s">
        <v>213</v>
      </c>
      <c r="BT64" s="103">
        <f t="shared" si="0"/>
        <v>0</v>
      </c>
      <c r="BU64" s="103">
        <v>0</v>
      </c>
      <c r="BV64" s="242">
        <v>0</v>
      </c>
      <c r="BW64" s="102" t="s">
        <v>227</v>
      </c>
      <c r="BX64" s="103">
        <v>0</v>
      </c>
      <c r="BY64" s="242">
        <v>0</v>
      </c>
      <c r="BZ64" s="102" t="s">
        <v>227</v>
      </c>
      <c r="CA64" s="103">
        <v>1</v>
      </c>
      <c r="CB64" s="246">
        <f>CA64/CA65</f>
        <v>7.5585789871504159E-4</v>
      </c>
      <c r="CC64" s="198" t="s">
        <v>262</v>
      </c>
      <c r="CD64" s="103">
        <v>1</v>
      </c>
      <c r="CE64" s="246">
        <f>CD64/CD65</f>
        <v>7.1942446043165469E-4</v>
      </c>
      <c r="CF64" s="198" t="s">
        <v>283</v>
      </c>
      <c r="CG64" s="103">
        <v>0</v>
      </c>
      <c r="CH64" s="246">
        <f>CG64/CG65</f>
        <v>0</v>
      </c>
      <c r="CI64" s="102" t="s">
        <v>227</v>
      </c>
      <c r="CJ64" s="103">
        <v>0</v>
      </c>
      <c r="CK64" s="246">
        <f>CJ64/CJ65</f>
        <v>0</v>
      </c>
      <c r="CL64" s="102" t="s">
        <v>227</v>
      </c>
      <c r="CM64" s="103">
        <f t="shared" si="1"/>
        <v>2</v>
      </c>
      <c r="CN64" s="103">
        <v>1</v>
      </c>
      <c r="CO64" s="230">
        <f>(CN64/CN65)*1000</f>
        <v>1.1037527593818985</v>
      </c>
      <c r="CP64" s="232" t="s">
        <v>340</v>
      </c>
      <c r="CQ64" s="103">
        <v>1</v>
      </c>
      <c r="CR64" s="230">
        <f>(CQ64/CQ65)*1000</f>
        <v>0.89047195013357072</v>
      </c>
      <c r="CS64" s="232" t="s">
        <v>340</v>
      </c>
      <c r="CT64" s="103">
        <v>5</v>
      </c>
      <c r="CU64" s="230">
        <f>(CT64/CT65)*1000</f>
        <v>3.7537537537537538</v>
      </c>
      <c r="CV64" s="232" t="s">
        <v>414</v>
      </c>
      <c r="CW64" s="103">
        <v>0</v>
      </c>
      <c r="CX64" s="230">
        <f>(CW64/CW65)*1000</f>
        <v>0</v>
      </c>
      <c r="CY64" s="232" t="s">
        <v>411</v>
      </c>
      <c r="CZ64" s="103">
        <v>3</v>
      </c>
      <c r="DA64" s="230">
        <f>(CZ64/CZ65)*1000</f>
        <v>2.4752475247524752</v>
      </c>
      <c r="DB64" s="232" t="s">
        <v>456</v>
      </c>
      <c r="DC64" s="103">
        <v>2</v>
      </c>
      <c r="DD64" s="230">
        <f>(DC64/DC65)*1000</f>
        <v>1.4398848092152627</v>
      </c>
      <c r="DF64" s="103">
        <f t="shared" si="2"/>
        <v>12</v>
      </c>
      <c r="DG64" s="267">
        <f t="shared" ref="DG64" si="29">DF64/DF65</f>
        <v>1.7436791630340018E-3</v>
      </c>
      <c r="DH64" s="103">
        <v>2</v>
      </c>
      <c r="DI64" s="230">
        <f>(DH64/DH65)*1000</f>
        <v>1.3495276653171389</v>
      </c>
      <c r="DK64" s="104">
        <v>3</v>
      </c>
      <c r="DL64" s="230">
        <f>(DK64/DK65)*1000</f>
        <v>2.1037868162692845</v>
      </c>
      <c r="DM64" s="115">
        <v>1</v>
      </c>
      <c r="DN64" s="230">
        <f>(DM64/DM65)*1000</f>
        <v>0.75301204819277112</v>
      </c>
    </row>
    <row r="65" spans="1:118" ht="41.25" customHeight="1" x14ac:dyDescent="0.2">
      <c r="A65" s="195"/>
      <c r="B65" s="99" t="s">
        <v>101</v>
      </c>
      <c r="C65" s="103">
        <v>10584</v>
      </c>
      <c r="D65" s="249"/>
      <c r="E65" s="71"/>
      <c r="F65" s="103">
        <v>1922</v>
      </c>
      <c r="G65" s="249"/>
      <c r="H65" s="71"/>
      <c r="I65" s="103">
        <v>1833</v>
      </c>
      <c r="J65" s="249"/>
      <c r="K65" s="71"/>
      <c r="L65" s="103">
        <v>1871</v>
      </c>
      <c r="M65" s="249"/>
      <c r="N65" s="243"/>
      <c r="O65" s="103">
        <v>1836</v>
      </c>
      <c r="P65" s="249"/>
      <c r="Q65" s="243"/>
      <c r="R65" s="103">
        <v>2116</v>
      </c>
      <c r="S65" s="249"/>
      <c r="T65" s="243"/>
      <c r="U65" s="103">
        <v>1798</v>
      </c>
      <c r="V65" s="249"/>
      <c r="W65" s="243"/>
      <c r="X65" s="103">
        <v>1949</v>
      </c>
      <c r="Y65" s="249"/>
      <c r="Z65" s="243"/>
      <c r="AA65" s="103">
        <v>1795</v>
      </c>
      <c r="AB65" s="249"/>
      <c r="AC65" s="243"/>
      <c r="AD65" s="103">
        <v>1940</v>
      </c>
      <c r="AE65" s="249"/>
      <c r="AF65" s="243"/>
      <c r="AG65" s="103">
        <v>1716</v>
      </c>
      <c r="AH65" s="249"/>
      <c r="AI65" s="243"/>
      <c r="AJ65" s="103">
        <v>1833</v>
      </c>
      <c r="AK65" s="249"/>
      <c r="AL65" s="243"/>
      <c r="AM65" s="103">
        <v>1844</v>
      </c>
      <c r="AN65" s="257"/>
      <c r="AO65" s="243"/>
      <c r="AP65" s="103">
        <v>1837</v>
      </c>
      <c r="AQ65" s="257"/>
      <c r="AR65" s="243"/>
      <c r="AS65" s="103">
        <v>1684</v>
      </c>
      <c r="AT65" s="257"/>
      <c r="AU65" s="243"/>
      <c r="AV65" s="103">
        <v>1507</v>
      </c>
      <c r="AW65" s="257"/>
      <c r="AX65" s="243"/>
      <c r="AY65" s="103">
        <v>1484</v>
      </c>
      <c r="AZ65" s="257"/>
      <c r="BA65" s="243"/>
      <c r="BB65" s="103">
        <v>1549</v>
      </c>
      <c r="BC65" s="257"/>
      <c r="BD65" s="199"/>
      <c r="BE65" s="103">
        <v>1517</v>
      </c>
      <c r="BF65" s="257"/>
      <c r="BG65" s="199"/>
      <c r="BH65" s="103">
        <v>1495</v>
      </c>
      <c r="BI65" s="257"/>
      <c r="BJ65" s="199"/>
      <c r="BK65" s="103">
        <v>1437</v>
      </c>
      <c r="BL65" s="257"/>
      <c r="BM65" s="199"/>
      <c r="BN65" s="103">
        <v>1498</v>
      </c>
      <c r="BO65" s="257"/>
      <c r="BP65" s="199"/>
      <c r="BQ65" s="103">
        <v>1432</v>
      </c>
      <c r="BR65" s="257"/>
      <c r="BS65" s="199"/>
      <c r="BT65" s="103">
        <f t="shared" si="0"/>
        <v>8928</v>
      </c>
      <c r="BU65" s="103">
        <v>1316</v>
      </c>
      <c r="BV65" s="243"/>
      <c r="BW65" s="72"/>
      <c r="BX65" s="103">
        <v>1488</v>
      </c>
      <c r="BY65" s="243"/>
      <c r="BZ65" s="72"/>
      <c r="CA65" s="103">
        <v>1323</v>
      </c>
      <c r="CB65" s="247"/>
      <c r="CC65" s="199"/>
      <c r="CD65" s="103">
        <v>1390</v>
      </c>
      <c r="CE65" s="247"/>
      <c r="CF65" s="199"/>
      <c r="CG65" s="103">
        <v>1484</v>
      </c>
      <c r="CH65" s="247"/>
      <c r="CI65" s="72"/>
      <c r="CJ65" s="103">
        <v>1333</v>
      </c>
      <c r="CK65" s="247"/>
      <c r="CL65" s="72"/>
      <c r="CM65" s="103">
        <f t="shared" si="1"/>
        <v>8334</v>
      </c>
      <c r="CN65" s="103">
        <v>906</v>
      </c>
      <c r="CO65" s="231"/>
      <c r="CP65" s="232"/>
      <c r="CQ65" s="103">
        <v>1123</v>
      </c>
      <c r="CR65" s="231"/>
      <c r="CS65" s="232"/>
      <c r="CT65" s="103">
        <v>1332</v>
      </c>
      <c r="CU65" s="231"/>
      <c r="CV65" s="232"/>
      <c r="CW65" s="103">
        <v>920</v>
      </c>
      <c r="CX65" s="231"/>
      <c r="CY65" s="232"/>
      <c r="CZ65" s="103">
        <v>1212</v>
      </c>
      <c r="DA65" s="231"/>
      <c r="DB65" s="232"/>
      <c r="DC65" s="103">
        <v>1389</v>
      </c>
      <c r="DD65" s="231"/>
      <c r="DF65" s="103">
        <f t="shared" si="2"/>
        <v>6882</v>
      </c>
      <c r="DG65" s="268"/>
      <c r="DH65" s="103">
        <v>1482</v>
      </c>
      <c r="DI65" s="231"/>
      <c r="DK65" s="103">
        <v>1426</v>
      </c>
      <c r="DL65" s="231"/>
      <c r="DM65" s="108">
        <v>1328</v>
      </c>
      <c r="DN65" s="231"/>
    </row>
    <row r="66" spans="1:118" ht="43.5" customHeight="1" x14ac:dyDescent="0.2">
      <c r="A66" s="195" t="s">
        <v>102</v>
      </c>
      <c r="B66" s="99" t="s">
        <v>103</v>
      </c>
      <c r="C66" s="103">
        <v>0</v>
      </c>
      <c r="D66" s="248">
        <f>+C66/C67</f>
        <v>0</v>
      </c>
      <c r="E66" s="71"/>
      <c r="F66" s="103">
        <v>0</v>
      </c>
      <c r="G66" s="248">
        <f>+F66/F67</f>
        <v>0</v>
      </c>
      <c r="H66" s="71"/>
      <c r="I66" s="103">
        <v>0</v>
      </c>
      <c r="J66" s="248">
        <f>+I66/I67</f>
        <v>0</v>
      </c>
      <c r="K66" s="71"/>
      <c r="L66" s="103">
        <v>0</v>
      </c>
      <c r="M66" s="248">
        <f>+L66/L67</f>
        <v>0</v>
      </c>
      <c r="N66" s="242"/>
      <c r="O66" s="103">
        <v>0</v>
      </c>
      <c r="P66" s="248">
        <f>+O66/O67</f>
        <v>0</v>
      </c>
      <c r="Q66" s="242"/>
      <c r="R66" s="103">
        <v>0</v>
      </c>
      <c r="S66" s="248">
        <f>+R66/R67</f>
        <v>0</v>
      </c>
      <c r="T66" s="242" t="s">
        <v>174</v>
      </c>
      <c r="U66" s="103">
        <v>0</v>
      </c>
      <c r="V66" s="248">
        <f>+U66/U67</f>
        <v>0</v>
      </c>
      <c r="W66" s="242"/>
      <c r="X66" s="103">
        <v>0</v>
      </c>
      <c r="Y66" s="248">
        <f>+X66/X67</f>
        <v>0</v>
      </c>
      <c r="Z66" s="242"/>
      <c r="AA66" s="103">
        <v>0</v>
      </c>
      <c r="AB66" s="248">
        <f>+AA66/AA67</f>
        <v>0</v>
      </c>
      <c r="AC66" s="242"/>
      <c r="AD66" s="103">
        <v>0</v>
      </c>
      <c r="AE66" s="248">
        <f>+AD66/AD67</f>
        <v>0</v>
      </c>
      <c r="AF66" s="242"/>
      <c r="AG66" s="103">
        <v>0</v>
      </c>
      <c r="AH66" s="248">
        <f>+AG66/AG67</f>
        <v>0</v>
      </c>
      <c r="AI66" s="242"/>
      <c r="AJ66" s="103">
        <v>0</v>
      </c>
      <c r="AK66" s="248">
        <f>+AJ66/AJ67</f>
        <v>0</v>
      </c>
      <c r="AL66" s="242"/>
      <c r="AM66" s="103">
        <v>0</v>
      </c>
      <c r="AN66" s="248">
        <f>+AM66/AM67</f>
        <v>0</v>
      </c>
      <c r="AO66" s="242"/>
      <c r="AP66" s="103">
        <v>0</v>
      </c>
      <c r="AQ66" s="248">
        <f>+AP66/AP67</f>
        <v>0</v>
      </c>
      <c r="AR66" s="242"/>
      <c r="AS66" s="103">
        <v>0</v>
      </c>
      <c r="AT66" s="248">
        <f>+AS66/AS67</f>
        <v>0</v>
      </c>
      <c r="AU66" s="242"/>
      <c r="AV66" s="103">
        <v>0</v>
      </c>
      <c r="AW66" s="248">
        <f>+AV66/AV67</f>
        <v>0</v>
      </c>
      <c r="AX66" s="242"/>
      <c r="AY66" s="103">
        <v>0</v>
      </c>
      <c r="AZ66" s="248">
        <f>+AY66/AY67</f>
        <v>0</v>
      </c>
      <c r="BA66" s="242"/>
      <c r="BB66" s="103">
        <v>0</v>
      </c>
      <c r="BC66" s="248">
        <f>+BB66/BB67</f>
        <v>0</v>
      </c>
      <c r="BD66" s="198" t="s">
        <v>218</v>
      </c>
      <c r="BE66" s="103">
        <v>0</v>
      </c>
      <c r="BF66" s="248">
        <f>+BE66/BE67</f>
        <v>0</v>
      </c>
      <c r="BG66" s="198" t="s">
        <v>218</v>
      </c>
      <c r="BH66" s="103">
        <v>0</v>
      </c>
      <c r="BI66" s="248">
        <f>+BH66/BH67</f>
        <v>0</v>
      </c>
      <c r="BJ66" s="198"/>
      <c r="BK66" s="103">
        <v>0</v>
      </c>
      <c r="BL66" s="248">
        <f>+BK66/BK67</f>
        <v>0</v>
      </c>
      <c r="BM66" s="198" t="s">
        <v>213</v>
      </c>
      <c r="BN66" s="103">
        <v>0</v>
      </c>
      <c r="BO66" s="248">
        <f>+BN66/BN67</f>
        <v>0</v>
      </c>
      <c r="BP66" s="198" t="s">
        <v>213</v>
      </c>
      <c r="BQ66" s="103">
        <v>0</v>
      </c>
      <c r="BR66" s="248">
        <f>+BQ66/BQ67</f>
        <v>0</v>
      </c>
      <c r="BS66" s="198" t="s">
        <v>213</v>
      </c>
      <c r="BT66" s="103">
        <f t="shared" si="0"/>
        <v>0</v>
      </c>
      <c r="BU66" s="103">
        <v>0</v>
      </c>
      <c r="BV66" s="242">
        <v>0</v>
      </c>
      <c r="BW66" s="102" t="s">
        <v>227</v>
      </c>
      <c r="BX66" s="103">
        <v>0</v>
      </c>
      <c r="BY66" s="242">
        <v>0</v>
      </c>
      <c r="BZ66" s="102" t="s">
        <v>227</v>
      </c>
      <c r="CA66" s="103">
        <v>0</v>
      </c>
      <c r="CB66" s="242">
        <v>0</v>
      </c>
      <c r="CC66" s="102"/>
      <c r="CD66" s="103">
        <v>1</v>
      </c>
      <c r="CE66" s="242">
        <v>0</v>
      </c>
      <c r="CF66" s="198" t="s">
        <v>276</v>
      </c>
      <c r="CG66" s="103">
        <v>0</v>
      </c>
      <c r="CH66" s="242">
        <v>0</v>
      </c>
      <c r="CI66" s="102" t="s">
        <v>227</v>
      </c>
      <c r="CJ66" s="103">
        <v>0</v>
      </c>
      <c r="CK66" s="242">
        <v>0</v>
      </c>
      <c r="CL66" s="102" t="s">
        <v>227</v>
      </c>
      <c r="CM66" s="103">
        <f t="shared" si="1"/>
        <v>1</v>
      </c>
      <c r="CN66" s="103">
        <v>0</v>
      </c>
      <c r="CO66" s="230">
        <f>CN66/CN67</f>
        <v>0</v>
      </c>
      <c r="CP66" s="232" t="s">
        <v>341</v>
      </c>
      <c r="CQ66" s="103">
        <v>0</v>
      </c>
      <c r="CR66" s="230">
        <f>CQ66/CQ67</f>
        <v>0</v>
      </c>
      <c r="CS66" s="232" t="s">
        <v>341</v>
      </c>
      <c r="CT66" s="103">
        <v>0</v>
      </c>
      <c r="CU66" s="230">
        <f>CT66/CT67</f>
        <v>0</v>
      </c>
      <c r="CV66" s="232" t="s">
        <v>390</v>
      </c>
      <c r="CW66" s="103">
        <v>0</v>
      </c>
      <c r="CX66" s="230">
        <f>CW66/CW67</f>
        <v>0</v>
      </c>
      <c r="CY66" s="232" t="s">
        <v>415</v>
      </c>
      <c r="CZ66" s="103">
        <v>0</v>
      </c>
      <c r="DA66" s="230">
        <f>CZ66/CZ67</f>
        <v>0</v>
      </c>
      <c r="DB66" s="232" t="s">
        <v>451</v>
      </c>
      <c r="DC66" s="103">
        <v>0</v>
      </c>
      <c r="DD66" s="230">
        <f>DC66/DC67</f>
        <v>0</v>
      </c>
      <c r="DF66" s="103">
        <f t="shared" si="2"/>
        <v>0</v>
      </c>
      <c r="DG66" s="267">
        <f t="shared" ref="DG66" si="30">DF66/DF67</f>
        <v>0</v>
      </c>
      <c r="DH66" s="103">
        <v>0</v>
      </c>
      <c r="DI66" s="230">
        <f>DH66/DH67</f>
        <v>0</v>
      </c>
      <c r="DK66" s="103">
        <v>0</v>
      </c>
      <c r="DL66" s="230">
        <f>DK66/DK67</f>
        <v>0</v>
      </c>
      <c r="DM66" s="108">
        <v>0</v>
      </c>
      <c r="DN66" s="230">
        <f>DM66/DM67</f>
        <v>0</v>
      </c>
    </row>
    <row r="67" spans="1:118" ht="33.75" customHeight="1" x14ac:dyDescent="0.2">
      <c r="A67" s="195"/>
      <c r="B67" s="99" t="s">
        <v>104</v>
      </c>
      <c r="C67" s="103">
        <v>31008</v>
      </c>
      <c r="D67" s="249"/>
      <c r="E67" s="99" t="s">
        <v>105</v>
      </c>
      <c r="F67" s="103">
        <v>5508</v>
      </c>
      <c r="G67" s="249"/>
      <c r="H67" s="71"/>
      <c r="I67" s="103">
        <v>1312</v>
      </c>
      <c r="J67" s="249"/>
      <c r="K67" s="71"/>
      <c r="L67" s="103">
        <v>3677</v>
      </c>
      <c r="M67" s="249"/>
      <c r="N67" s="243"/>
      <c r="O67" s="103">
        <v>2975</v>
      </c>
      <c r="P67" s="249"/>
      <c r="Q67" s="243"/>
      <c r="R67" s="103">
        <v>2687</v>
      </c>
      <c r="S67" s="249"/>
      <c r="T67" s="243"/>
      <c r="U67" s="103">
        <v>3308</v>
      </c>
      <c r="V67" s="249"/>
      <c r="W67" s="243"/>
      <c r="X67" s="103">
        <v>4962</v>
      </c>
      <c r="Y67" s="249"/>
      <c r="Z67" s="243"/>
      <c r="AA67" s="103">
        <v>4145</v>
      </c>
      <c r="AB67" s="249"/>
      <c r="AC67" s="243"/>
      <c r="AD67" s="103">
        <v>7945</v>
      </c>
      <c r="AE67" s="249"/>
      <c r="AF67" s="243"/>
      <c r="AG67" s="103">
        <v>4942</v>
      </c>
      <c r="AH67" s="249"/>
      <c r="AI67" s="243"/>
      <c r="AJ67" s="103">
        <v>4770</v>
      </c>
      <c r="AK67" s="249"/>
      <c r="AL67" s="243"/>
      <c r="AM67" s="103">
        <v>3625</v>
      </c>
      <c r="AN67" s="249"/>
      <c r="AO67" s="243"/>
      <c r="AP67" s="103">
        <v>2926</v>
      </c>
      <c r="AQ67" s="249"/>
      <c r="AR67" s="243"/>
      <c r="AS67" s="103">
        <v>3688</v>
      </c>
      <c r="AT67" s="249"/>
      <c r="AU67" s="243"/>
      <c r="AV67" s="103">
        <v>3063</v>
      </c>
      <c r="AW67" s="249"/>
      <c r="AX67" s="243"/>
      <c r="AY67" s="103">
        <v>1953</v>
      </c>
      <c r="AZ67" s="249"/>
      <c r="BA67" s="243"/>
      <c r="BB67" s="103">
        <v>2197</v>
      </c>
      <c r="BC67" s="249"/>
      <c r="BD67" s="199"/>
      <c r="BE67" s="103">
        <v>2776</v>
      </c>
      <c r="BF67" s="249"/>
      <c r="BG67" s="199"/>
      <c r="BH67" s="103">
        <v>2705</v>
      </c>
      <c r="BI67" s="249"/>
      <c r="BJ67" s="199"/>
      <c r="BK67" s="103">
        <v>2910</v>
      </c>
      <c r="BL67" s="249"/>
      <c r="BM67" s="199"/>
      <c r="BN67" s="103">
        <v>3180</v>
      </c>
      <c r="BO67" s="249"/>
      <c r="BP67" s="199"/>
      <c r="BQ67" s="103">
        <v>2693</v>
      </c>
      <c r="BR67" s="249"/>
      <c r="BS67" s="199"/>
      <c r="BT67" s="103">
        <f t="shared" si="0"/>
        <v>16461</v>
      </c>
      <c r="BU67" s="103">
        <v>2975</v>
      </c>
      <c r="BV67" s="243"/>
      <c r="BW67" s="72"/>
      <c r="BX67" s="103"/>
      <c r="BY67" s="243"/>
      <c r="BZ67" s="72"/>
      <c r="CA67" s="103">
        <v>3000</v>
      </c>
      <c r="CB67" s="243"/>
      <c r="CC67" s="72"/>
      <c r="CD67" s="103">
        <v>3626</v>
      </c>
      <c r="CE67" s="243"/>
      <c r="CF67" s="199"/>
      <c r="CG67" s="103">
        <v>3214</v>
      </c>
      <c r="CH67" s="243"/>
      <c r="CI67" s="72"/>
      <c r="CJ67" s="103">
        <v>843</v>
      </c>
      <c r="CK67" s="243"/>
      <c r="CL67" s="72"/>
      <c r="CM67" s="103">
        <f t="shared" si="1"/>
        <v>13658</v>
      </c>
      <c r="CN67" s="103">
        <v>320</v>
      </c>
      <c r="CO67" s="231"/>
      <c r="CP67" s="232"/>
      <c r="CQ67" s="103">
        <v>2229</v>
      </c>
      <c r="CR67" s="231"/>
      <c r="CS67" s="232"/>
      <c r="CT67" s="103">
        <v>3014</v>
      </c>
      <c r="CU67" s="231"/>
      <c r="CV67" s="232"/>
      <c r="CW67" s="103">
        <v>2881</v>
      </c>
      <c r="CX67" s="231"/>
      <c r="CY67" s="232"/>
      <c r="CZ67" s="103">
        <v>3004</v>
      </c>
      <c r="DA67" s="231"/>
      <c r="DB67" s="232"/>
      <c r="DC67" s="106">
        <v>2159</v>
      </c>
      <c r="DD67" s="231"/>
      <c r="DF67" s="103">
        <f t="shared" si="2"/>
        <v>13607</v>
      </c>
      <c r="DG67" s="268"/>
      <c r="DH67" s="106">
        <v>2751</v>
      </c>
      <c r="DI67" s="231"/>
      <c r="DK67" s="103">
        <v>1879</v>
      </c>
      <c r="DL67" s="231"/>
      <c r="DM67" s="108">
        <v>2482</v>
      </c>
      <c r="DN67" s="231"/>
    </row>
    <row r="68" spans="1:118" ht="66" customHeight="1" x14ac:dyDescent="0.2">
      <c r="A68" s="195" t="s">
        <v>106</v>
      </c>
      <c r="B68" s="99" t="s">
        <v>107</v>
      </c>
      <c r="C68" s="103">
        <v>0</v>
      </c>
      <c r="D68" s="248">
        <f>+C68/C69</f>
        <v>0</v>
      </c>
      <c r="E68" s="71"/>
      <c r="F68" s="103">
        <v>0</v>
      </c>
      <c r="G68" s="248">
        <f>+F68/F69</f>
        <v>0</v>
      </c>
      <c r="H68" s="71"/>
      <c r="I68" s="103">
        <v>0</v>
      </c>
      <c r="J68" s="248">
        <f>+I68/I69</f>
        <v>0</v>
      </c>
      <c r="K68" s="71"/>
      <c r="L68" s="103">
        <v>0</v>
      </c>
      <c r="M68" s="248">
        <f>+L68/L69</f>
        <v>0</v>
      </c>
      <c r="N68" s="242"/>
      <c r="O68" s="103">
        <v>0</v>
      </c>
      <c r="P68" s="248">
        <f>+O68/O69</f>
        <v>0</v>
      </c>
      <c r="Q68" s="242"/>
      <c r="R68" s="103">
        <v>0</v>
      </c>
      <c r="S68" s="248">
        <f>+R68/R69</f>
        <v>0</v>
      </c>
      <c r="T68" s="242" t="s">
        <v>174</v>
      </c>
      <c r="U68" s="103">
        <v>0</v>
      </c>
      <c r="V68" s="248">
        <f>+U68/U69</f>
        <v>0</v>
      </c>
      <c r="W68" s="242"/>
      <c r="X68" s="103">
        <v>0</v>
      </c>
      <c r="Y68" s="248">
        <f>+X68/X69</f>
        <v>0</v>
      </c>
      <c r="Z68" s="242"/>
      <c r="AA68" s="103">
        <v>0</v>
      </c>
      <c r="AB68" s="248">
        <f>+AA68/AA69</f>
        <v>0</v>
      </c>
      <c r="AC68" s="242"/>
      <c r="AD68" s="103">
        <v>0</v>
      </c>
      <c r="AE68" s="248">
        <f>+AD68/AD69</f>
        <v>0</v>
      </c>
      <c r="AF68" s="242"/>
      <c r="AG68" s="103">
        <v>0</v>
      </c>
      <c r="AH68" s="248">
        <f>+AG68/AG69</f>
        <v>0</v>
      </c>
      <c r="AI68" s="242"/>
      <c r="AJ68" s="103">
        <v>0</v>
      </c>
      <c r="AK68" s="248">
        <f>+AJ68/AJ69</f>
        <v>0</v>
      </c>
      <c r="AL68" s="242"/>
      <c r="AM68" s="103">
        <v>0</v>
      </c>
      <c r="AN68" s="248">
        <f>+AM68/AM69</f>
        <v>0</v>
      </c>
      <c r="AO68" s="242"/>
      <c r="AP68" s="103">
        <v>0</v>
      </c>
      <c r="AQ68" s="248">
        <f>+AP68/AP69</f>
        <v>0</v>
      </c>
      <c r="AR68" s="242"/>
      <c r="AS68" s="103">
        <v>0</v>
      </c>
      <c r="AT68" s="248">
        <f>+AS68/AS69</f>
        <v>0</v>
      </c>
      <c r="AU68" s="242"/>
      <c r="AV68" s="103">
        <v>0</v>
      </c>
      <c r="AW68" s="248">
        <f>+AV68/AV69</f>
        <v>0</v>
      </c>
      <c r="AX68" s="242"/>
      <c r="AY68" s="103">
        <v>0</v>
      </c>
      <c r="AZ68" s="248">
        <f>+AY68/AY69</f>
        <v>0</v>
      </c>
      <c r="BA68" s="242"/>
      <c r="BB68" s="103">
        <v>0</v>
      </c>
      <c r="BC68" s="248">
        <f>+BB68/BB69</f>
        <v>0</v>
      </c>
      <c r="BD68" s="198" t="s">
        <v>218</v>
      </c>
      <c r="BE68" s="103">
        <v>0</v>
      </c>
      <c r="BF68" s="248">
        <f>+BE68/BE69</f>
        <v>0</v>
      </c>
      <c r="BG68" s="198" t="s">
        <v>218</v>
      </c>
      <c r="BH68" s="103">
        <v>0</v>
      </c>
      <c r="BI68" s="248">
        <f>+BH68/BH69</f>
        <v>0</v>
      </c>
      <c r="BJ68" s="198"/>
      <c r="BK68" s="103">
        <v>0</v>
      </c>
      <c r="BL68" s="248">
        <f>+BK68/BK69</f>
        <v>0</v>
      </c>
      <c r="BM68" s="198" t="s">
        <v>213</v>
      </c>
      <c r="BN68" s="103">
        <v>0</v>
      </c>
      <c r="BO68" s="248" t="e">
        <f>+BN68/BN69</f>
        <v>#DIV/0!</v>
      </c>
      <c r="BP68" s="198" t="s">
        <v>213</v>
      </c>
      <c r="BQ68" s="103">
        <v>0</v>
      </c>
      <c r="BR68" s="248" t="e">
        <f>+BQ68/BQ69</f>
        <v>#DIV/0!</v>
      </c>
      <c r="BS68" s="198" t="s">
        <v>213</v>
      </c>
      <c r="BT68" s="103">
        <f t="shared" si="0"/>
        <v>0</v>
      </c>
      <c r="BU68" s="103">
        <v>0</v>
      </c>
      <c r="BV68" s="242">
        <v>0</v>
      </c>
      <c r="BW68" s="102" t="s">
        <v>227</v>
      </c>
      <c r="BX68" s="103">
        <v>0</v>
      </c>
      <c r="BY68" s="242">
        <v>0</v>
      </c>
      <c r="BZ68" s="102" t="s">
        <v>227</v>
      </c>
      <c r="CA68" s="103">
        <v>0</v>
      </c>
      <c r="CB68" s="242">
        <v>0</v>
      </c>
      <c r="CC68" s="102" t="s">
        <v>227</v>
      </c>
      <c r="CD68" s="103">
        <v>0</v>
      </c>
      <c r="CE68" s="242">
        <v>0</v>
      </c>
      <c r="CF68" s="102" t="s">
        <v>227</v>
      </c>
      <c r="CG68" s="103">
        <v>0</v>
      </c>
      <c r="CH68" s="242">
        <v>0</v>
      </c>
      <c r="CI68" s="102" t="s">
        <v>227</v>
      </c>
      <c r="CJ68" s="103">
        <v>0</v>
      </c>
      <c r="CK68" s="242">
        <v>0</v>
      </c>
      <c r="CL68" s="102" t="s">
        <v>227</v>
      </c>
      <c r="CM68" s="103">
        <f t="shared" si="1"/>
        <v>0</v>
      </c>
      <c r="CN68" s="103">
        <v>0</v>
      </c>
      <c r="CO68" s="230">
        <v>0</v>
      </c>
      <c r="CP68" s="232" t="s">
        <v>342</v>
      </c>
      <c r="CQ68" s="103">
        <v>0</v>
      </c>
      <c r="CR68" s="230">
        <v>0</v>
      </c>
      <c r="CS68" s="232" t="s">
        <v>342</v>
      </c>
      <c r="CT68" s="103">
        <v>0</v>
      </c>
      <c r="CU68" s="230">
        <v>0</v>
      </c>
      <c r="CV68" s="232" t="s">
        <v>391</v>
      </c>
      <c r="CW68" s="103">
        <v>0</v>
      </c>
      <c r="CX68" s="230">
        <v>0</v>
      </c>
      <c r="CY68" s="232" t="s">
        <v>416</v>
      </c>
      <c r="CZ68" s="103">
        <v>0</v>
      </c>
      <c r="DA68" s="230">
        <v>0</v>
      </c>
      <c r="DB68" s="232" t="s">
        <v>452</v>
      </c>
      <c r="DC68" s="103">
        <v>0</v>
      </c>
      <c r="DD68" s="230">
        <v>0</v>
      </c>
      <c r="DF68" s="103">
        <f t="shared" si="2"/>
        <v>0</v>
      </c>
      <c r="DG68" s="267">
        <f t="shared" ref="DG68" si="31">DF68/DF69</f>
        <v>0</v>
      </c>
      <c r="DH68" s="103">
        <v>0</v>
      </c>
      <c r="DI68" s="230">
        <v>0</v>
      </c>
      <c r="DK68" s="103">
        <v>0</v>
      </c>
      <c r="DL68" s="230">
        <v>0</v>
      </c>
      <c r="DM68" s="108">
        <v>0</v>
      </c>
      <c r="DN68" s="230">
        <v>0</v>
      </c>
    </row>
    <row r="69" spans="1:118" ht="44.45" customHeight="1" x14ac:dyDescent="0.2">
      <c r="A69" s="195"/>
      <c r="B69" s="99" t="s">
        <v>108</v>
      </c>
      <c r="C69" s="103">
        <f>2673*6</f>
        <v>16038</v>
      </c>
      <c r="D69" s="249"/>
      <c r="E69" s="71"/>
      <c r="F69" s="103">
        <f>1922+576</f>
        <v>2498</v>
      </c>
      <c r="G69" s="249"/>
      <c r="H69" s="71"/>
      <c r="I69" s="103">
        <v>2101</v>
      </c>
      <c r="J69" s="249"/>
      <c r="K69" s="71"/>
      <c r="L69" s="103">
        <v>3254</v>
      </c>
      <c r="M69" s="249"/>
      <c r="N69" s="243"/>
      <c r="O69" s="103">
        <v>3001</v>
      </c>
      <c r="P69" s="249"/>
      <c r="Q69" s="243"/>
      <c r="R69" s="103">
        <v>2900</v>
      </c>
      <c r="S69" s="249"/>
      <c r="T69" s="243"/>
      <c r="U69" s="103">
        <f>15+998+474+721</f>
        <v>2208</v>
      </c>
      <c r="V69" s="249"/>
      <c r="W69" s="243"/>
      <c r="X69" s="103">
        <v>2354</v>
      </c>
      <c r="Y69" s="249"/>
      <c r="Z69" s="243"/>
      <c r="AA69" s="103">
        <v>2267</v>
      </c>
      <c r="AB69" s="249"/>
      <c r="AC69" s="243"/>
      <c r="AD69" s="103">
        <v>2897</v>
      </c>
      <c r="AE69" s="249"/>
      <c r="AF69" s="243"/>
      <c r="AG69" s="103">
        <v>2842</v>
      </c>
      <c r="AH69" s="249"/>
      <c r="AI69" s="243"/>
      <c r="AJ69" s="103">
        <v>2930</v>
      </c>
      <c r="AK69" s="249"/>
      <c r="AL69" s="243"/>
      <c r="AM69" s="103">
        <v>2684</v>
      </c>
      <c r="AN69" s="249"/>
      <c r="AO69" s="243"/>
      <c r="AP69" s="103">
        <v>1564</v>
      </c>
      <c r="AQ69" s="249"/>
      <c r="AR69" s="243"/>
      <c r="AS69" s="103">
        <v>1456</v>
      </c>
      <c r="AT69" s="249"/>
      <c r="AU69" s="243"/>
      <c r="AV69" s="103">
        <v>1286</v>
      </c>
      <c r="AW69" s="249"/>
      <c r="AX69" s="243"/>
      <c r="AY69" s="103">
        <v>1109</v>
      </c>
      <c r="AZ69" s="249"/>
      <c r="BA69" s="243"/>
      <c r="BB69" s="103">
        <v>1287</v>
      </c>
      <c r="BC69" s="249"/>
      <c r="BD69" s="199"/>
      <c r="BE69" s="103">
        <v>912</v>
      </c>
      <c r="BF69" s="249"/>
      <c r="BG69" s="199"/>
      <c r="BH69" s="103">
        <v>921</v>
      </c>
      <c r="BI69" s="249"/>
      <c r="BJ69" s="199"/>
      <c r="BK69" s="103">
        <v>830</v>
      </c>
      <c r="BL69" s="249"/>
      <c r="BM69" s="199"/>
      <c r="BN69" s="103"/>
      <c r="BO69" s="249"/>
      <c r="BP69" s="199"/>
      <c r="BQ69" s="103"/>
      <c r="BR69" s="249"/>
      <c r="BS69" s="199"/>
      <c r="BT69" s="103">
        <f t="shared" si="0"/>
        <v>3950</v>
      </c>
      <c r="BU69" s="103">
        <v>894</v>
      </c>
      <c r="BV69" s="243"/>
      <c r="BW69" s="72"/>
      <c r="BX69" s="103">
        <v>822</v>
      </c>
      <c r="BY69" s="243"/>
      <c r="BZ69" s="72"/>
      <c r="CA69" s="103">
        <v>731</v>
      </c>
      <c r="CB69" s="243"/>
      <c r="CC69" s="72"/>
      <c r="CD69" s="103">
        <v>2186</v>
      </c>
      <c r="CE69" s="243"/>
      <c r="CF69" s="72"/>
      <c r="CG69" s="103">
        <v>1987</v>
      </c>
      <c r="CH69" s="243"/>
      <c r="CI69" s="72"/>
      <c r="CJ69" s="103">
        <v>723</v>
      </c>
      <c r="CK69" s="243"/>
      <c r="CL69" s="72"/>
      <c r="CM69" s="103">
        <f t="shared" si="1"/>
        <v>7343</v>
      </c>
      <c r="CN69" s="103">
        <v>1204</v>
      </c>
      <c r="CO69" s="231"/>
      <c r="CP69" s="232"/>
      <c r="CQ69" s="103">
        <v>1453</v>
      </c>
      <c r="CR69" s="231"/>
      <c r="CS69" s="232"/>
      <c r="CT69" s="103">
        <v>2272</v>
      </c>
      <c r="CU69" s="231"/>
      <c r="CV69" s="232"/>
      <c r="CW69" s="103">
        <v>1870</v>
      </c>
      <c r="CX69" s="231"/>
      <c r="CY69" s="232"/>
      <c r="CZ69" s="103">
        <v>1132</v>
      </c>
      <c r="DA69" s="231"/>
      <c r="DB69" s="232"/>
      <c r="DC69" s="103">
        <v>1082</v>
      </c>
      <c r="DD69" s="231"/>
      <c r="DF69" s="103">
        <f t="shared" si="2"/>
        <v>9013</v>
      </c>
      <c r="DG69" s="268"/>
      <c r="DH69" s="103">
        <v>1397</v>
      </c>
      <c r="DI69" s="231"/>
      <c r="DK69" s="103">
        <v>692</v>
      </c>
      <c r="DL69" s="231"/>
      <c r="DM69" s="108">
        <v>442</v>
      </c>
      <c r="DN69" s="231"/>
    </row>
    <row r="70" spans="1:118" ht="66" customHeight="1" x14ac:dyDescent="0.2">
      <c r="A70" s="195" t="s">
        <v>109</v>
      </c>
      <c r="B70" s="99" t="s">
        <v>110</v>
      </c>
      <c r="C70" s="103">
        <v>0</v>
      </c>
      <c r="D70" s="248">
        <f>+C70/C71</f>
        <v>0</v>
      </c>
      <c r="E70" s="71"/>
      <c r="F70" s="103">
        <v>0</v>
      </c>
      <c r="G70" s="248">
        <f>+F70/F71</f>
        <v>0</v>
      </c>
      <c r="H70" s="71"/>
      <c r="I70" s="103">
        <v>0</v>
      </c>
      <c r="J70" s="248">
        <f>+I70/I71</f>
        <v>0</v>
      </c>
      <c r="K70" s="71"/>
      <c r="L70" s="103">
        <v>0</v>
      </c>
      <c r="M70" s="248">
        <f>+L70/L71</f>
        <v>0</v>
      </c>
      <c r="N70" s="242"/>
      <c r="O70" s="103">
        <v>0</v>
      </c>
      <c r="P70" s="248">
        <f>+O70/O71</f>
        <v>0</v>
      </c>
      <c r="Q70" s="242"/>
      <c r="R70" s="103">
        <v>0</v>
      </c>
      <c r="S70" s="248">
        <f>+R70/R71</f>
        <v>0</v>
      </c>
      <c r="T70" s="242" t="s">
        <v>174</v>
      </c>
      <c r="U70" s="103">
        <v>0</v>
      </c>
      <c r="V70" s="248">
        <f>+U70/U71</f>
        <v>0</v>
      </c>
      <c r="W70" s="242"/>
      <c r="X70" s="103">
        <v>0</v>
      </c>
      <c r="Y70" s="248">
        <f>+X70/X71</f>
        <v>0</v>
      </c>
      <c r="Z70" s="242"/>
      <c r="AA70" s="103">
        <v>0</v>
      </c>
      <c r="AB70" s="248">
        <f>+AA70/AA71</f>
        <v>0</v>
      </c>
      <c r="AC70" s="242"/>
      <c r="AD70" s="103">
        <v>0</v>
      </c>
      <c r="AE70" s="248">
        <f>+AD70/AD71</f>
        <v>0</v>
      </c>
      <c r="AF70" s="242"/>
      <c r="AG70" s="103">
        <v>0</v>
      </c>
      <c r="AH70" s="248">
        <f>+AG70/AG71</f>
        <v>0</v>
      </c>
      <c r="AI70" s="242"/>
      <c r="AJ70" s="103">
        <v>0</v>
      </c>
      <c r="AK70" s="248">
        <f>+AJ70/AJ71</f>
        <v>0</v>
      </c>
      <c r="AL70" s="242"/>
      <c r="AM70" s="103">
        <v>0</v>
      </c>
      <c r="AN70" s="248">
        <f>+AM70/AM71</f>
        <v>0</v>
      </c>
      <c r="AO70" s="242"/>
      <c r="AP70" s="103">
        <v>10</v>
      </c>
      <c r="AQ70" s="248">
        <f>+AP70/AP71</f>
        <v>9.2764378478664197E-3</v>
      </c>
      <c r="AR70" s="242"/>
      <c r="AS70" s="103">
        <v>21</v>
      </c>
      <c r="AT70" s="248">
        <f>+AS70/AS71</f>
        <v>1.9961977186311788E-2</v>
      </c>
      <c r="AU70" s="242"/>
      <c r="AV70" s="103">
        <v>1</v>
      </c>
      <c r="AW70" s="246">
        <f>+AV70/AV71</f>
        <v>1.001001001001001E-3</v>
      </c>
      <c r="AX70" s="242"/>
      <c r="AY70" s="103">
        <v>2</v>
      </c>
      <c r="AZ70" s="246">
        <f>+AY70/AY71</f>
        <v>2.0986358866736622E-3</v>
      </c>
      <c r="BA70" s="242"/>
      <c r="BB70" s="103">
        <v>0</v>
      </c>
      <c r="BC70" s="246">
        <f>+BB70/BB71</f>
        <v>0</v>
      </c>
      <c r="BD70" s="198" t="s">
        <v>218</v>
      </c>
      <c r="BE70" s="103">
        <v>0</v>
      </c>
      <c r="BF70" s="246">
        <f>+BE70/BE71</f>
        <v>0</v>
      </c>
      <c r="BG70" s="198" t="s">
        <v>218</v>
      </c>
      <c r="BH70" s="103">
        <v>0</v>
      </c>
      <c r="BI70" s="246">
        <f>+BH70/BH71</f>
        <v>0</v>
      </c>
      <c r="BJ70" s="198"/>
      <c r="BK70" s="103">
        <v>0</v>
      </c>
      <c r="BL70" s="246">
        <f>+BK70/BK71</f>
        <v>0</v>
      </c>
      <c r="BM70" s="198" t="s">
        <v>213</v>
      </c>
      <c r="BN70" s="103">
        <v>0</v>
      </c>
      <c r="BO70" s="246">
        <f>+BN70/BN71</f>
        <v>0</v>
      </c>
      <c r="BP70" s="198" t="s">
        <v>213</v>
      </c>
      <c r="BQ70" s="103">
        <v>0</v>
      </c>
      <c r="BR70" s="246">
        <f>+BQ70/BQ71</f>
        <v>0</v>
      </c>
      <c r="BS70" s="198" t="s">
        <v>213</v>
      </c>
      <c r="BT70" s="103">
        <f t="shared" si="0"/>
        <v>0</v>
      </c>
      <c r="BU70" s="103">
        <v>0</v>
      </c>
      <c r="BV70" s="242">
        <v>0</v>
      </c>
      <c r="BW70" s="102" t="s">
        <v>227</v>
      </c>
      <c r="BX70" s="103">
        <v>0</v>
      </c>
      <c r="BY70" s="242">
        <v>0</v>
      </c>
      <c r="BZ70" s="102" t="s">
        <v>227</v>
      </c>
      <c r="CA70" s="103">
        <v>0</v>
      </c>
      <c r="CB70" s="242">
        <v>0</v>
      </c>
      <c r="CC70" s="102" t="s">
        <v>228</v>
      </c>
      <c r="CD70" s="103">
        <v>0</v>
      </c>
      <c r="CE70" s="242">
        <v>0</v>
      </c>
      <c r="CF70" s="102" t="s">
        <v>228</v>
      </c>
      <c r="CG70" s="103">
        <v>0</v>
      </c>
      <c r="CH70" s="242">
        <v>0</v>
      </c>
      <c r="CI70" s="102" t="s">
        <v>227</v>
      </c>
      <c r="CJ70" s="103">
        <v>0</v>
      </c>
      <c r="CK70" s="242">
        <v>0</v>
      </c>
      <c r="CL70" s="102" t="s">
        <v>227</v>
      </c>
      <c r="CM70" s="103">
        <f t="shared" si="1"/>
        <v>0</v>
      </c>
      <c r="CN70" s="103">
        <v>0</v>
      </c>
      <c r="CO70" s="219">
        <f>+CN70/CN71</f>
        <v>0</v>
      </c>
      <c r="CP70" s="232" t="s">
        <v>343</v>
      </c>
      <c r="CQ70" s="103">
        <v>0</v>
      </c>
      <c r="CR70" s="219">
        <f>+CQ70/CQ71</f>
        <v>0</v>
      </c>
      <c r="CS70" s="232" t="s">
        <v>343</v>
      </c>
      <c r="CT70" s="103">
        <v>0</v>
      </c>
      <c r="CU70" s="219">
        <f>+CT70/CT71</f>
        <v>0</v>
      </c>
      <c r="CV70" s="232" t="s">
        <v>418</v>
      </c>
      <c r="CW70" s="103">
        <v>1</v>
      </c>
      <c r="CX70" s="219">
        <f>+CW70/CW71</f>
        <v>1.6313213703099511E-3</v>
      </c>
      <c r="CY70" s="232" t="s">
        <v>420</v>
      </c>
      <c r="CZ70" s="103">
        <v>4</v>
      </c>
      <c r="DA70" s="219">
        <f>+CZ70/CZ71</f>
        <v>6.6666666666666671E-3</v>
      </c>
      <c r="DB70" s="232" t="s">
        <v>453</v>
      </c>
      <c r="DC70" s="103">
        <v>0</v>
      </c>
      <c r="DD70" s="219">
        <f>+DC70/DC71</f>
        <v>0</v>
      </c>
      <c r="DF70" s="103">
        <f t="shared" si="2"/>
        <v>5</v>
      </c>
      <c r="DG70" s="267">
        <f t="shared" ref="DG70" si="32">DF70/DF71</f>
        <v>1.3238019592268996E-3</v>
      </c>
      <c r="DH70" s="103">
        <v>0</v>
      </c>
      <c r="DI70" s="219">
        <f>+DH70/DH71</f>
        <v>0</v>
      </c>
      <c r="DK70" s="104">
        <v>5</v>
      </c>
      <c r="DL70" s="219">
        <f>+DK70/DK71</f>
        <v>6.4350064350064346E-3</v>
      </c>
      <c r="DM70" s="115">
        <v>0</v>
      </c>
      <c r="DN70" s="219">
        <f>+DM70/DM71</f>
        <v>0</v>
      </c>
    </row>
    <row r="71" spans="1:118" ht="42.75" customHeight="1" x14ac:dyDescent="0.2">
      <c r="A71" s="195"/>
      <c r="B71" s="99" t="s">
        <v>111</v>
      </c>
      <c r="C71" s="103">
        <v>7109</v>
      </c>
      <c r="D71" s="249"/>
      <c r="E71" s="71"/>
      <c r="F71" s="103">
        <v>1303</v>
      </c>
      <c r="G71" s="249"/>
      <c r="H71" s="71"/>
      <c r="I71" s="103">
        <v>1109</v>
      </c>
      <c r="J71" s="249"/>
      <c r="K71" s="71"/>
      <c r="L71" s="103">
        <v>1238</v>
      </c>
      <c r="M71" s="249"/>
      <c r="N71" s="243"/>
      <c r="O71" s="103">
        <v>1155</v>
      </c>
      <c r="P71" s="249"/>
      <c r="Q71" s="243"/>
      <c r="R71" s="103">
        <v>1308</v>
      </c>
      <c r="S71" s="249"/>
      <c r="T71" s="243"/>
      <c r="U71" s="103">
        <v>1077</v>
      </c>
      <c r="V71" s="249"/>
      <c r="W71" s="243"/>
      <c r="X71" s="103">
        <v>1245</v>
      </c>
      <c r="Y71" s="249"/>
      <c r="Z71" s="243"/>
      <c r="AA71" s="103">
        <v>1146</v>
      </c>
      <c r="AB71" s="249"/>
      <c r="AC71" s="243"/>
      <c r="AD71" s="103">
        <v>1201</v>
      </c>
      <c r="AE71" s="249"/>
      <c r="AF71" s="243"/>
      <c r="AG71" s="103">
        <v>1116</v>
      </c>
      <c r="AH71" s="249"/>
      <c r="AI71" s="243"/>
      <c r="AJ71" s="103">
        <v>1190</v>
      </c>
      <c r="AK71" s="249"/>
      <c r="AL71" s="243"/>
      <c r="AM71" s="103">
        <v>1104</v>
      </c>
      <c r="AN71" s="249"/>
      <c r="AO71" s="243"/>
      <c r="AP71" s="103">
        <v>1078</v>
      </c>
      <c r="AQ71" s="249"/>
      <c r="AR71" s="243"/>
      <c r="AS71" s="103">
        <v>1052</v>
      </c>
      <c r="AT71" s="249"/>
      <c r="AU71" s="243"/>
      <c r="AV71" s="103">
        <v>999</v>
      </c>
      <c r="AW71" s="247"/>
      <c r="AX71" s="243"/>
      <c r="AY71" s="103">
        <v>953</v>
      </c>
      <c r="AZ71" s="247"/>
      <c r="BA71" s="243"/>
      <c r="BB71" s="103">
        <v>827</v>
      </c>
      <c r="BC71" s="247"/>
      <c r="BD71" s="199"/>
      <c r="BE71" s="103">
        <v>884</v>
      </c>
      <c r="BF71" s="247"/>
      <c r="BG71" s="199"/>
      <c r="BH71" s="103">
        <v>866</v>
      </c>
      <c r="BI71" s="247"/>
      <c r="BJ71" s="199"/>
      <c r="BK71" s="103">
        <v>792</v>
      </c>
      <c r="BL71" s="247"/>
      <c r="BM71" s="199"/>
      <c r="BN71" s="103">
        <v>817</v>
      </c>
      <c r="BO71" s="247"/>
      <c r="BP71" s="199"/>
      <c r="BQ71" s="103">
        <v>769</v>
      </c>
      <c r="BR71" s="247"/>
      <c r="BS71" s="199"/>
      <c r="BT71" s="103">
        <f t="shared" ref="BT71:BT111" si="33">+BB71+BE71+BH71+BK71+BN71+BQ71</f>
        <v>4955</v>
      </c>
      <c r="BU71" s="103">
        <v>740</v>
      </c>
      <c r="BV71" s="243"/>
      <c r="BW71" s="72"/>
      <c r="BX71" s="103">
        <v>790</v>
      </c>
      <c r="BY71" s="243"/>
      <c r="BZ71" s="72"/>
      <c r="CA71" s="103">
        <v>750</v>
      </c>
      <c r="CB71" s="243"/>
      <c r="CC71" s="72"/>
      <c r="CD71" s="103">
        <v>780</v>
      </c>
      <c r="CE71" s="243"/>
      <c r="CF71" s="72"/>
      <c r="CG71" s="103">
        <v>780</v>
      </c>
      <c r="CH71" s="243"/>
      <c r="CI71" s="72"/>
      <c r="CJ71" s="103">
        <v>750</v>
      </c>
      <c r="CK71" s="243"/>
      <c r="CL71" s="72"/>
      <c r="CM71" s="103">
        <f t="shared" ref="CM71:CM111" si="34">CJ71+CG71+CD71+CA71+BX71+BU71</f>
        <v>4590</v>
      </c>
      <c r="CN71" s="103">
        <v>530</v>
      </c>
      <c r="CO71" s="220"/>
      <c r="CP71" s="232"/>
      <c r="CQ71" s="103">
        <v>558</v>
      </c>
      <c r="CR71" s="220"/>
      <c r="CS71" s="232"/>
      <c r="CT71" s="103">
        <v>764</v>
      </c>
      <c r="CU71" s="220"/>
      <c r="CV71" s="232"/>
      <c r="CW71" s="103">
        <v>613</v>
      </c>
      <c r="CX71" s="220"/>
      <c r="CY71" s="232"/>
      <c r="CZ71" s="103">
        <v>600</v>
      </c>
      <c r="DA71" s="220"/>
      <c r="DB71" s="232"/>
      <c r="DC71" s="103">
        <v>712</v>
      </c>
      <c r="DD71" s="220"/>
      <c r="DF71" s="103">
        <f t="shared" ref="DF71:DF111" si="35">CN71+CQ71+CT71+CW71+CZ71+DC71</f>
        <v>3777</v>
      </c>
      <c r="DG71" s="268"/>
      <c r="DH71" s="103">
        <v>827</v>
      </c>
      <c r="DI71" s="220"/>
      <c r="DK71" s="103">
        <v>777</v>
      </c>
      <c r="DL71" s="220"/>
      <c r="DM71" s="115">
        <v>727</v>
      </c>
      <c r="DN71" s="220"/>
    </row>
    <row r="72" spans="1:118" ht="61.5" customHeight="1" x14ac:dyDescent="0.2">
      <c r="A72" s="195" t="s">
        <v>112</v>
      </c>
      <c r="B72" s="99" t="s">
        <v>113</v>
      </c>
      <c r="C72" s="103">
        <v>0</v>
      </c>
      <c r="D72" s="248">
        <f>+C72/C73</f>
        <v>0</v>
      </c>
      <c r="E72" s="71"/>
      <c r="F72" s="103">
        <v>0</v>
      </c>
      <c r="G72" s="248">
        <f>+F72/F73</f>
        <v>0</v>
      </c>
      <c r="H72" s="71"/>
      <c r="I72" s="103">
        <v>0</v>
      </c>
      <c r="J72" s="248">
        <f>+I72/I73</f>
        <v>0</v>
      </c>
      <c r="K72" s="71"/>
      <c r="L72" s="103">
        <v>0</v>
      </c>
      <c r="M72" s="248">
        <f>+L72/L73</f>
        <v>0</v>
      </c>
      <c r="N72" s="242"/>
      <c r="O72" s="103">
        <v>0</v>
      </c>
      <c r="P72" s="248">
        <f>+O72/O73</f>
        <v>0</v>
      </c>
      <c r="Q72" s="242"/>
      <c r="R72" s="103">
        <v>0</v>
      </c>
      <c r="S72" s="248">
        <f>+R72/R73</f>
        <v>0</v>
      </c>
      <c r="T72" s="242" t="s">
        <v>174</v>
      </c>
      <c r="U72" s="103">
        <v>0</v>
      </c>
      <c r="V72" s="248">
        <f>+U72/U73</f>
        <v>0</v>
      </c>
      <c r="W72" s="242"/>
      <c r="X72" s="103">
        <v>0</v>
      </c>
      <c r="Y72" s="248">
        <f>+X72/X73</f>
        <v>0</v>
      </c>
      <c r="Z72" s="242"/>
      <c r="AA72" s="103">
        <v>0</v>
      </c>
      <c r="AB72" s="248">
        <f>+AA72/AA73</f>
        <v>0</v>
      </c>
      <c r="AC72" s="242"/>
      <c r="AD72" s="103">
        <v>0</v>
      </c>
      <c r="AE72" s="248">
        <f>+AD72/AD73</f>
        <v>0</v>
      </c>
      <c r="AF72" s="242"/>
      <c r="AG72" s="103">
        <v>0</v>
      </c>
      <c r="AH72" s="248">
        <f>+AG72/AG73</f>
        <v>0</v>
      </c>
      <c r="AI72" s="242"/>
      <c r="AJ72" s="103">
        <v>0</v>
      </c>
      <c r="AK72" s="248">
        <f>+AJ72/AJ73</f>
        <v>0</v>
      </c>
      <c r="AL72" s="242"/>
      <c r="AM72" s="103">
        <v>0</v>
      </c>
      <c r="AN72" s="248">
        <f>+AM72/AM73</f>
        <v>0</v>
      </c>
      <c r="AO72" s="242"/>
      <c r="AP72" s="103">
        <v>0</v>
      </c>
      <c r="AQ72" s="248">
        <f>+AP72/AP73</f>
        <v>0</v>
      </c>
      <c r="AR72" s="242"/>
      <c r="AS72" s="103">
        <v>0</v>
      </c>
      <c r="AT72" s="248">
        <f>+AS72/AS73</f>
        <v>0</v>
      </c>
      <c r="AU72" s="242"/>
      <c r="AV72" s="103">
        <v>0</v>
      </c>
      <c r="AW72" s="248">
        <f>+AV72/AV73</f>
        <v>0</v>
      </c>
      <c r="AX72" s="242"/>
      <c r="AY72" s="103">
        <v>0</v>
      </c>
      <c r="AZ72" s="248">
        <f>+AY72/AY73</f>
        <v>0</v>
      </c>
      <c r="BA72" s="242"/>
      <c r="BB72" s="103">
        <v>0</v>
      </c>
      <c r="BC72" s="248">
        <f>+BB72/BB73</f>
        <v>0</v>
      </c>
      <c r="BD72" s="198" t="s">
        <v>218</v>
      </c>
      <c r="BE72" s="103">
        <v>0</v>
      </c>
      <c r="BF72" s="248">
        <f>+BE72/BE73</f>
        <v>0</v>
      </c>
      <c r="BG72" s="198" t="s">
        <v>218</v>
      </c>
      <c r="BH72" s="103">
        <v>0</v>
      </c>
      <c r="BI72" s="248">
        <f>+BH72/BH73</f>
        <v>0</v>
      </c>
      <c r="BJ72" s="198"/>
      <c r="BK72" s="103">
        <v>0</v>
      </c>
      <c r="BL72" s="248">
        <f>+BK72/BK73</f>
        <v>0</v>
      </c>
      <c r="BM72" s="198" t="s">
        <v>213</v>
      </c>
      <c r="BN72" s="103">
        <v>0</v>
      </c>
      <c r="BO72" s="248">
        <f>+BN72/BN73</f>
        <v>0</v>
      </c>
      <c r="BP72" s="198" t="s">
        <v>213</v>
      </c>
      <c r="BQ72" s="103">
        <v>0</v>
      </c>
      <c r="BR72" s="248">
        <f>+BQ72/BQ73</f>
        <v>0</v>
      </c>
      <c r="BS72" s="198" t="s">
        <v>213</v>
      </c>
      <c r="BT72" s="103">
        <f t="shared" si="33"/>
        <v>0</v>
      </c>
      <c r="BU72" s="103">
        <v>0</v>
      </c>
      <c r="BV72" s="242">
        <v>0</v>
      </c>
      <c r="BW72" s="102" t="s">
        <v>227</v>
      </c>
      <c r="BX72" s="103">
        <v>0</v>
      </c>
      <c r="BY72" s="242">
        <v>0</v>
      </c>
      <c r="BZ72" s="102" t="s">
        <v>227</v>
      </c>
      <c r="CA72" s="103">
        <v>0</v>
      </c>
      <c r="CB72" s="242">
        <v>0</v>
      </c>
      <c r="CC72" s="102" t="s">
        <v>228</v>
      </c>
      <c r="CD72" s="103">
        <v>0</v>
      </c>
      <c r="CE72" s="242">
        <v>0</v>
      </c>
      <c r="CF72" s="102" t="s">
        <v>228</v>
      </c>
      <c r="CG72" s="103">
        <v>0</v>
      </c>
      <c r="CH72" s="242">
        <v>0</v>
      </c>
      <c r="CI72" s="102" t="s">
        <v>227</v>
      </c>
      <c r="CJ72" s="103">
        <v>0</v>
      </c>
      <c r="CK72" s="242">
        <v>0</v>
      </c>
      <c r="CL72" s="102" t="s">
        <v>227</v>
      </c>
      <c r="CM72" s="103">
        <f t="shared" si="34"/>
        <v>0</v>
      </c>
      <c r="CN72" s="103">
        <v>1</v>
      </c>
      <c r="CO72" s="239">
        <f>CN72/CN73</f>
        <v>1.1037527593818985E-3</v>
      </c>
      <c r="CP72" s="232" t="s">
        <v>345</v>
      </c>
      <c r="CQ72" s="103">
        <v>1</v>
      </c>
      <c r="CR72" s="239">
        <f>CQ72/CQ73</f>
        <v>8.9047195013357077E-4</v>
      </c>
      <c r="CS72" s="232" t="s">
        <v>344</v>
      </c>
      <c r="CT72" s="103">
        <v>0</v>
      </c>
      <c r="CU72" s="219">
        <f>CT72/CT73</f>
        <v>0</v>
      </c>
      <c r="CV72" s="232" t="s">
        <v>417</v>
      </c>
      <c r="CW72" s="103">
        <v>1</v>
      </c>
      <c r="CX72" s="219">
        <f>CW72/CW73</f>
        <v>1.0869565217391304E-3</v>
      </c>
      <c r="CY72" s="232" t="s">
        <v>419</v>
      </c>
      <c r="CZ72" s="103">
        <v>2</v>
      </c>
      <c r="DA72" s="219">
        <f>CZ72/CZ73</f>
        <v>1.6501650165016502E-3</v>
      </c>
      <c r="DB72" s="232" t="s">
        <v>454</v>
      </c>
      <c r="DC72" s="103">
        <v>3</v>
      </c>
      <c r="DD72" s="219">
        <f>DC72/DC73</f>
        <v>2.1598272138228943E-3</v>
      </c>
      <c r="DF72" s="103">
        <f t="shared" si="35"/>
        <v>8</v>
      </c>
      <c r="DG72" s="267">
        <f t="shared" ref="DG72" si="36">DF72/DF73</f>
        <v>1.1624527753560012E-3</v>
      </c>
      <c r="DH72" s="103">
        <v>3</v>
      </c>
      <c r="DI72" s="219">
        <f>DH72/DH73</f>
        <v>2.0242914979757085E-3</v>
      </c>
      <c r="DK72" s="104">
        <v>3</v>
      </c>
      <c r="DL72" s="219">
        <f>DK72/DK73</f>
        <v>2.1037868162692847E-3</v>
      </c>
      <c r="DM72" s="115">
        <v>1</v>
      </c>
      <c r="DN72" s="219">
        <f>DM72/DM73</f>
        <v>7.5301204819277112E-4</v>
      </c>
    </row>
    <row r="73" spans="1:118" ht="34.5" customHeight="1" x14ac:dyDescent="0.2">
      <c r="A73" s="195"/>
      <c r="B73" s="99" t="s">
        <v>114</v>
      </c>
      <c r="C73" s="103">
        <v>7109</v>
      </c>
      <c r="D73" s="249"/>
      <c r="E73" s="71"/>
      <c r="F73" s="103">
        <v>1922</v>
      </c>
      <c r="G73" s="249"/>
      <c r="H73" s="71"/>
      <c r="I73" s="103">
        <v>1833</v>
      </c>
      <c r="J73" s="249"/>
      <c r="K73" s="71"/>
      <c r="L73" s="103">
        <v>1871</v>
      </c>
      <c r="M73" s="249"/>
      <c r="N73" s="243"/>
      <c r="O73" s="103">
        <v>1836</v>
      </c>
      <c r="P73" s="249"/>
      <c r="Q73" s="243"/>
      <c r="R73" s="103">
        <v>2116</v>
      </c>
      <c r="S73" s="249"/>
      <c r="T73" s="243"/>
      <c r="U73" s="103">
        <v>1978</v>
      </c>
      <c r="V73" s="249"/>
      <c r="W73" s="243"/>
      <c r="X73" s="103">
        <v>1949</v>
      </c>
      <c r="Y73" s="249"/>
      <c r="Z73" s="243"/>
      <c r="AA73" s="103">
        <v>1795</v>
      </c>
      <c r="AB73" s="249"/>
      <c r="AC73" s="243"/>
      <c r="AD73" s="103">
        <v>1940</v>
      </c>
      <c r="AE73" s="249"/>
      <c r="AF73" s="243"/>
      <c r="AG73" s="103">
        <v>1716</v>
      </c>
      <c r="AH73" s="249"/>
      <c r="AI73" s="243"/>
      <c r="AJ73" s="103">
        <v>1833</v>
      </c>
      <c r="AK73" s="249"/>
      <c r="AL73" s="243"/>
      <c r="AM73" s="103">
        <v>1844</v>
      </c>
      <c r="AN73" s="249"/>
      <c r="AO73" s="243"/>
      <c r="AP73" s="103">
        <v>1837</v>
      </c>
      <c r="AQ73" s="249"/>
      <c r="AR73" s="243"/>
      <c r="AS73" s="103">
        <v>1684</v>
      </c>
      <c r="AT73" s="249"/>
      <c r="AU73" s="243"/>
      <c r="AV73" s="103">
        <v>1507</v>
      </c>
      <c r="AW73" s="249"/>
      <c r="AX73" s="243"/>
      <c r="AY73" s="103">
        <v>1484</v>
      </c>
      <c r="AZ73" s="249"/>
      <c r="BA73" s="243"/>
      <c r="BB73" s="103">
        <v>1549</v>
      </c>
      <c r="BC73" s="249"/>
      <c r="BD73" s="199"/>
      <c r="BE73" s="103">
        <v>1517</v>
      </c>
      <c r="BF73" s="249"/>
      <c r="BG73" s="199"/>
      <c r="BH73" s="103">
        <v>1495</v>
      </c>
      <c r="BI73" s="249"/>
      <c r="BJ73" s="199"/>
      <c r="BK73" s="103">
        <v>1437</v>
      </c>
      <c r="BL73" s="249"/>
      <c r="BM73" s="199"/>
      <c r="BN73" s="103">
        <v>1498</v>
      </c>
      <c r="BO73" s="249"/>
      <c r="BP73" s="199"/>
      <c r="BQ73" s="103">
        <v>1432</v>
      </c>
      <c r="BR73" s="249"/>
      <c r="BS73" s="199"/>
      <c r="BT73" s="103">
        <f t="shared" si="33"/>
        <v>8928</v>
      </c>
      <c r="BU73" s="103">
        <v>1316</v>
      </c>
      <c r="BV73" s="243"/>
      <c r="BW73" s="72"/>
      <c r="BX73" s="103">
        <v>1488</v>
      </c>
      <c r="BY73" s="243"/>
      <c r="BZ73" s="72"/>
      <c r="CA73" s="103">
        <v>1323</v>
      </c>
      <c r="CB73" s="243"/>
      <c r="CC73" s="72"/>
      <c r="CD73" s="103">
        <v>1390</v>
      </c>
      <c r="CE73" s="243"/>
      <c r="CF73" s="72"/>
      <c r="CG73" s="103">
        <v>1484</v>
      </c>
      <c r="CH73" s="243"/>
      <c r="CI73" s="72"/>
      <c r="CJ73" s="103">
        <v>1333</v>
      </c>
      <c r="CK73" s="243"/>
      <c r="CL73" s="72"/>
      <c r="CM73" s="103">
        <f t="shared" si="34"/>
        <v>8334</v>
      </c>
      <c r="CN73" s="103">
        <v>906</v>
      </c>
      <c r="CO73" s="240"/>
      <c r="CP73" s="232"/>
      <c r="CQ73" s="103">
        <v>1123</v>
      </c>
      <c r="CR73" s="240"/>
      <c r="CS73" s="232"/>
      <c r="CT73" s="103">
        <v>1332</v>
      </c>
      <c r="CU73" s="220"/>
      <c r="CV73" s="232"/>
      <c r="CW73" s="103">
        <v>920</v>
      </c>
      <c r="CX73" s="220"/>
      <c r="CY73" s="232"/>
      <c r="CZ73" s="103">
        <v>1212</v>
      </c>
      <c r="DA73" s="220"/>
      <c r="DB73" s="232"/>
      <c r="DC73" s="103">
        <v>1389</v>
      </c>
      <c r="DD73" s="220"/>
      <c r="DF73" s="103">
        <f t="shared" si="35"/>
        <v>6882</v>
      </c>
      <c r="DG73" s="268"/>
      <c r="DH73" s="103">
        <v>1482</v>
      </c>
      <c r="DI73" s="220"/>
      <c r="DK73" s="103">
        <v>1426</v>
      </c>
      <c r="DL73" s="220"/>
      <c r="DM73" s="108">
        <v>1328</v>
      </c>
      <c r="DN73" s="220"/>
    </row>
    <row r="74" spans="1:118" ht="42.75" customHeight="1" x14ac:dyDescent="0.2">
      <c r="A74" s="195" t="s">
        <v>115</v>
      </c>
      <c r="B74" s="99" t="s">
        <v>116</v>
      </c>
      <c r="C74" s="103">
        <v>0</v>
      </c>
      <c r="D74" s="248">
        <v>0</v>
      </c>
      <c r="E74" s="71"/>
      <c r="F74" s="103">
        <v>0</v>
      </c>
      <c r="G74" s="248">
        <v>0</v>
      </c>
      <c r="H74" s="71"/>
      <c r="I74" s="103">
        <v>0</v>
      </c>
      <c r="J74" s="248">
        <v>0</v>
      </c>
      <c r="K74" s="71"/>
      <c r="L74" s="103">
        <v>0</v>
      </c>
      <c r="M74" s="248">
        <v>0</v>
      </c>
      <c r="N74" s="242"/>
      <c r="O74" s="103">
        <v>0</v>
      </c>
      <c r="P74" s="248">
        <v>0</v>
      </c>
      <c r="Q74" s="242"/>
      <c r="R74" s="103">
        <v>0</v>
      </c>
      <c r="S74" s="248">
        <v>0</v>
      </c>
      <c r="T74" s="242" t="s">
        <v>174</v>
      </c>
      <c r="U74" s="103">
        <v>0</v>
      </c>
      <c r="V74" s="248">
        <v>0</v>
      </c>
      <c r="W74" s="242" t="s">
        <v>174</v>
      </c>
      <c r="X74" s="103">
        <v>0</v>
      </c>
      <c r="Y74" s="248">
        <v>0</v>
      </c>
      <c r="Z74" s="242"/>
      <c r="AA74" s="103">
        <v>0</v>
      </c>
      <c r="AB74" s="248">
        <v>0</v>
      </c>
      <c r="AC74" s="242"/>
      <c r="AD74" s="103">
        <v>0</v>
      </c>
      <c r="AE74" s="248">
        <v>0</v>
      </c>
      <c r="AF74" s="242"/>
      <c r="AG74" s="103">
        <v>0</v>
      </c>
      <c r="AH74" s="248">
        <v>0</v>
      </c>
      <c r="AI74" s="242"/>
      <c r="AJ74" s="103">
        <v>0</v>
      </c>
      <c r="AK74" s="248">
        <v>0</v>
      </c>
      <c r="AL74" s="242"/>
      <c r="AM74" s="103">
        <v>0</v>
      </c>
      <c r="AN74" s="248">
        <v>0</v>
      </c>
      <c r="AO74" s="242"/>
      <c r="AP74" s="103">
        <v>0</v>
      </c>
      <c r="AQ74" s="248">
        <v>0</v>
      </c>
      <c r="AR74" s="242"/>
      <c r="AS74" s="103">
        <v>0</v>
      </c>
      <c r="AT74" s="248">
        <v>0</v>
      </c>
      <c r="AU74" s="242"/>
      <c r="AV74" s="103">
        <v>2</v>
      </c>
      <c r="AW74" s="248">
        <v>0</v>
      </c>
      <c r="AX74" s="242"/>
      <c r="AY74" s="103">
        <v>0</v>
      </c>
      <c r="AZ74" s="248">
        <v>0</v>
      </c>
      <c r="BA74" s="242"/>
      <c r="BB74" s="103">
        <v>0</v>
      </c>
      <c r="BC74" s="248">
        <v>0</v>
      </c>
      <c r="BD74" s="198" t="s">
        <v>218</v>
      </c>
      <c r="BE74" s="103">
        <v>0</v>
      </c>
      <c r="BF74" s="248">
        <v>0</v>
      </c>
      <c r="BG74" s="198" t="s">
        <v>218</v>
      </c>
      <c r="BH74" s="103">
        <v>0</v>
      </c>
      <c r="BI74" s="248">
        <v>0</v>
      </c>
      <c r="BJ74" s="198" t="s">
        <v>218</v>
      </c>
      <c r="BK74" s="103">
        <v>0</v>
      </c>
      <c r="BL74" s="248">
        <v>0</v>
      </c>
      <c r="BM74" s="198" t="s">
        <v>218</v>
      </c>
      <c r="BN74" s="103">
        <v>0</v>
      </c>
      <c r="BO74" s="248">
        <v>0</v>
      </c>
      <c r="BP74" s="198" t="s">
        <v>218</v>
      </c>
      <c r="BQ74" s="103">
        <v>0</v>
      </c>
      <c r="BR74" s="248">
        <v>0</v>
      </c>
      <c r="BS74" s="198" t="s">
        <v>218</v>
      </c>
      <c r="BT74" s="103">
        <f t="shared" si="33"/>
        <v>0</v>
      </c>
      <c r="BU74" s="103">
        <v>0</v>
      </c>
      <c r="BV74" s="242">
        <v>0</v>
      </c>
      <c r="BW74" s="102" t="s">
        <v>228</v>
      </c>
      <c r="BX74" s="103">
        <v>0</v>
      </c>
      <c r="BY74" s="242">
        <v>0</v>
      </c>
      <c r="BZ74" s="102" t="s">
        <v>228</v>
      </c>
      <c r="CA74" s="103">
        <v>0</v>
      </c>
      <c r="CB74" s="242">
        <v>0</v>
      </c>
      <c r="CC74" s="102" t="s">
        <v>228</v>
      </c>
      <c r="CD74" s="103">
        <v>0</v>
      </c>
      <c r="CE74" s="242">
        <v>0</v>
      </c>
      <c r="CF74" s="102" t="s">
        <v>228</v>
      </c>
      <c r="CG74" s="103">
        <v>0</v>
      </c>
      <c r="CH74" s="242">
        <v>0</v>
      </c>
      <c r="CI74" s="102" t="s">
        <v>227</v>
      </c>
      <c r="CJ74" s="103">
        <v>0</v>
      </c>
      <c r="CK74" s="242">
        <v>0</v>
      </c>
      <c r="CL74" s="102" t="s">
        <v>227</v>
      </c>
      <c r="CM74" s="103">
        <f t="shared" si="34"/>
        <v>0</v>
      </c>
      <c r="CN74" s="103">
        <v>0</v>
      </c>
      <c r="CO74" s="242">
        <v>0</v>
      </c>
      <c r="CP74" s="232" t="s">
        <v>346</v>
      </c>
      <c r="CQ74" s="103">
        <v>1</v>
      </c>
      <c r="CR74" s="230">
        <f>(CQ74/CQ75)*1000</f>
        <v>0.28785261945883711</v>
      </c>
      <c r="CS74" s="232" t="s">
        <v>347</v>
      </c>
      <c r="CT74" s="103">
        <v>3</v>
      </c>
      <c r="CU74" s="230">
        <f>(CT74/CT75)*1000</f>
        <v>0.81146875845279953</v>
      </c>
      <c r="CV74" s="232" t="s">
        <v>422</v>
      </c>
      <c r="CW74" s="103">
        <v>0</v>
      </c>
      <c r="CX74" s="230">
        <f>(CW74/CW75)*1000</f>
        <v>0</v>
      </c>
      <c r="CY74" s="232" t="s">
        <v>421</v>
      </c>
      <c r="CZ74" s="103">
        <v>3</v>
      </c>
      <c r="DA74" s="230">
        <f>(CZ74/CZ75)*1000</f>
        <v>0.92137592137592139</v>
      </c>
      <c r="DB74" s="232" t="s">
        <v>457</v>
      </c>
      <c r="DC74" s="103">
        <v>2</v>
      </c>
      <c r="DD74" s="271">
        <f>(DC74/DC75)*1000</f>
        <v>0.46981442330279544</v>
      </c>
      <c r="DF74" s="103">
        <f t="shared" si="35"/>
        <v>9</v>
      </c>
      <c r="DG74" s="267">
        <f t="shared" ref="DG74" si="37">DF74/DF75</f>
        <v>4.444663934021433E-4</v>
      </c>
      <c r="DH74" s="103">
        <v>2</v>
      </c>
      <c r="DI74" s="271">
        <f>(DH74/DH75)*1000</f>
        <v>0.38204393505253104</v>
      </c>
      <c r="DK74" s="104">
        <v>0</v>
      </c>
      <c r="DL74" s="230">
        <f>(DK74/DK75)*1000</f>
        <v>0</v>
      </c>
      <c r="DM74" s="115">
        <v>1</v>
      </c>
      <c r="DN74" s="230">
        <f>(DM74/DM75)*1000</f>
        <v>0.22747952684258418</v>
      </c>
    </row>
    <row r="75" spans="1:118" ht="51" customHeight="1" x14ac:dyDescent="0.2">
      <c r="A75" s="195"/>
      <c r="B75" s="99" t="s">
        <v>117</v>
      </c>
      <c r="C75" s="103">
        <v>0</v>
      </c>
      <c r="D75" s="249"/>
      <c r="E75" s="71"/>
      <c r="F75" s="103">
        <v>7656</v>
      </c>
      <c r="G75" s="249"/>
      <c r="H75" s="71"/>
      <c r="I75" s="103">
        <v>5370</v>
      </c>
      <c r="J75" s="249"/>
      <c r="K75" s="71"/>
      <c r="L75" s="103">
        <v>6959</v>
      </c>
      <c r="M75" s="249"/>
      <c r="N75" s="243"/>
      <c r="O75" s="103">
        <v>4317</v>
      </c>
      <c r="P75" s="249"/>
      <c r="Q75" s="243"/>
      <c r="R75" s="103">
        <v>6410</v>
      </c>
      <c r="S75" s="249"/>
      <c r="T75" s="243"/>
      <c r="U75" s="103">
        <v>5291</v>
      </c>
      <c r="V75" s="249"/>
      <c r="W75" s="243"/>
      <c r="X75" s="75">
        <v>6129</v>
      </c>
      <c r="Y75" s="249"/>
      <c r="Z75" s="243"/>
      <c r="AA75" s="75">
        <v>6408</v>
      </c>
      <c r="AB75" s="249"/>
      <c r="AC75" s="243"/>
      <c r="AD75" s="75">
        <v>7229</v>
      </c>
      <c r="AE75" s="249"/>
      <c r="AF75" s="243"/>
      <c r="AG75" s="75">
        <v>4023</v>
      </c>
      <c r="AH75" s="249"/>
      <c r="AI75" s="243"/>
      <c r="AJ75" s="75">
        <v>6891</v>
      </c>
      <c r="AK75" s="249"/>
      <c r="AL75" s="243"/>
      <c r="AM75" s="75">
        <v>4387</v>
      </c>
      <c r="AN75" s="249"/>
      <c r="AO75" s="243"/>
      <c r="AP75" s="75">
        <v>4024</v>
      </c>
      <c r="AQ75" s="249"/>
      <c r="AR75" s="243"/>
      <c r="AS75" s="75">
        <v>4688</v>
      </c>
      <c r="AT75" s="249"/>
      <c r="AU75" s="243"/>
      <c r="AV75" s="75">
        <v>4674</v>
      </c>
      <c r="AW75" s="249"/>
      <c r="AX75" s="243"/>
      <c r="AY75" s="75">
        <v>4077</v>
      </c>
      <c r="AZ75" s="249"/>
      <c r="BA75" s="243"/>
      <c r="BB75" s="75">
        <v>3397</v>
      </c>
      <c r="BC75" s="249"/>
      <c r="BD75" s="199"/>
      <c r="BE75" s="75">
        <v>3974</v>
      </c>
      <c r="BF75" s="249"/>
      <c r="BG75" s="199"/>
      <c r="BH75" s="75">
        <v>3960</v>
      </c>
      <c r="BI75" s="249"/>
      <c r="BJ75" s="199"/>
      <c r="BK75" s="75">
        <v>3344</v>
      </c>
      <c r="BL75" s="249"/>
      <c r="BM75" s="199"/>
      <c r="BN75" s="75">
        <v>4163</v>
      </c>
      <c r="BO75" s="249"/>
      <c r="BP75" s="199"/>
      <c r="BQ75" s="75">
        <v>3544</v>
      </c>
      <c r="BR75" s="249"/>
      <c r="BS75" s="199"/>
      <c r="BT75" s="75">
        <f t="shared" si="33"/>
        <v>22382</v>
      </c>
      <c r="BU75" s="75">
        <v>3977</v>
      </c>
      <c r="BV75" s="243"/>
      <c r="BW75" s="72"/>
      <c r="BX75" s="103">
        <v>3901</v>
      </c>
      <c r="BY75" s="243"/>
      <c r="BZ75" s="72"/>
      <c r="CA75" s="103">
        <v>3666</v>
      </c>
      <c r="CB75" s="243"/>
      <c r="CC75" s="72"/>
      <c r="CD75" s="103">
        <v>4152</v>
      </c>
      <c r="CE75" s="243"/>
      <c r="CF75" s="72"/>
      <c r="CG75" s="103">
        <v>3960</v>
      </c>
      <c r="CH75" s="243"/>
      <c r="CI75" s="72"/>
      <c r="CJ75" s="103">
        <v>3998</v>
      </c>
      <c r="CK75" s="243"/>
      <c r="CL75" s="72"/>
      <c r="CM75" s="103">
        <f t="shared" si="34"/>
        <v>23654</v>
      </c>
      <c r="CN75" s="103">
        <v>3019</v>
      </c>
      <c r="CO75" s="243"/>
      <c r="CP75" s="232"/>
      <c r="CQ75" s="103">
        <v>3474</v>
      </c>
      <c r="CR75" s="231"/>
      <c r="CS75" s="232"/>
      <c r="CT75" s="103">
        <v>3697</v>
      </c>
      <c r="CU75" s="231"/>
      <c r="CV75" s="232"/>
      <c r="CW75" s="103">
        <v>2546</v>
      </c>
      <c r="CX75" s="231"/>
      <c r="CY75" s="232"/>
      <c r="CZ75" s="103">
        <v>3256</v>
      </c>
      <c r="DA75" s="231"/>
      <c r="DB75" s="232"/>
      <c r="DC75" s="103">
        <v>4257</v>
      </c>
      <c r="DD75" s="272"/>
      <c r="DF75" s="103">
        <f t="shared" si="35"/>
        <v>20249</v>
      </c>
      <c r="DG75" s="268"/>
      <c r="DH75" s="103">
        <v>5235</v>
      </c>
      <c r="DI75" s="272"/>
      <c r="DK75" s="104">
        <v>3574</v>
      </c>
      <c r="DL75" s="231"/>
      <c r="DM75" s="108">
        <v>4396</v>
      </c>
      <c r="DN75" s="231"/>
    </row>
    <row r="76" spans="1:118" ht="77.25" customHeight="1" x14ac:dyDescent="0.2">
      <c r="A76" s="195" t="s">
        <v>118</v>
      </c>
      <c r="B76" s="69" t="s">
        <v>119</v>
      </c>
      <c r="C76" s="75">
        <v>10</v>
      </c>
      <c r="D76" s="248">
        <f>+C76/C77</f>
        <v>9.4482237339380199E-4</v>
      </c>
      <c r="E76" s="71"/>
      <c r="F76" s="75">
        <v>3</v>
      </c>
      <c r="G76" s="248">
        <f>+F76/F77</f>
        <v>1.5608740894901144E-3</v>
      </c>
      <c r="H76" s="71"/>
      <c r="I76" s="75">
        <v>6</v>
      </c>
      <c r="J76" s="248">
        <f>+I76/I77</f>
        <v>3.2733224222585926E-3</v>
      </c>
      <c r="K76" s="71"/>
      <c r="L76" s="75">
        <v>1</v>
      </c>
      <c r="M76" s="248">
        <f>+L76/L77</f>
        <v>5.3447354355959376E-4</v>
      </c>
      <c r="N76" s="242"/>
      <c r="O76" s="75">
        <v>2</v>
      </c>
      <c r="P76" s="248">
        <f>+O76/O77</f>
        <v>1.0893246187363835E-3</v>
      </c>
      <c r="Q76" s="242"/>
      <c r="R76" s="75">
        <v>0</v>
      </c>
      <c r="S76" s="248">
        <f>+R76/R77</f>
        <v>0</v>
      </c>
      <c r="T76" s="198" t="s">
        <v>173</v>
      </c>
      <c r="U76" s="75">
        <v>0</v>
      </c>
      <c r="V76" s="248">
        <f>+U76/U77</f>
        <v>0</v>
      </c>
      <c r="W76" s="198" t="s">
        <v>178</v>
      </c>
      <c r="X76" s="75">
        <v>0</v>
      </c>
      <c r="Y76" s="248">
        <f>+X76/X77</f>
        <v>0</v>
      </c>
      <c r="Z76" s="198" t="s">
        <v>178</v>
      </c>
      <c r="AA76" s="75">
        <v>0</v>
      </c>
      <c r="AB76" s="248">
        <f>+AA76/AA77</f>
        <v>0</v>
      </c>
      <c r="AC76" s="198"/>
      <c r="AD76" s="75">
        <v>0</v>
      </c>
      <c r="AE76" s="248">
        <f>+AD76/AD77</f>
        <v>0</v>
      </c>
      <c r="AF76" s="198"/>
      <c r="AG76" s="75">
        <v>0</v>
      </c>
      <c r="AH76" s="248">
        <f>+AG76/AG77</f>
        <v>0</v>
      </c>
      <c r="AI76" s="198"/>
      <c r="AJ76" s="75">
        <v>0</v>
      </c>
      <c r="AK76" s="248">
        <f>+AJ76/AJ77</f>
        <v>0</v>
      </c>
      <c r="AL76" s="198"/>
      <c r="AM76" s="75">
        <v>0</v>
      </c>
      <c r="AN76" s="248">
        <f>+AM76/AM77</f>
        <v>0</v>
      </c>
      <c r="AO76" s="198" t="s">
        <v>189</v>
      </c>
      <c r="AP76" s="75">
        <v>0</v>
      </c>
      <c r="AQ76" s="248">
        <f>+AP76/AP77</f>
        <v>0</v>
      </c>
      <c r="AR76" s="198" t="s">
        <v>189</v>
      </c>
      <c r="AS76" s="75">
        <v>1</v>
      </c>
      <c r="AT76" s="246">
        <f>+AS76/AS77</f>
        <v>5.9382422802850359E-4</v>
      </c>
      <c r="AU76" s="198"/>
      <c r="AV76" s="75">
        <v>1</v>
      </c>
      <c r="AW76" s="248">
        <f>+AV76/AV77</f>
        <v>6.6357000663570006E-4</v>
      </c>
      <c r="AX76" s="198"/>
      <c r="AY76" s="75">
        <v>0</v>
      </c>
      <c r="AZ76" s="248">
        <f>+AY76/AY77</f>
        <v>0</v>
      </c>
      <c r="BA76" s="198"/>
      <c r="BB76" s="75">
        <v>0</v>
      </c>
      <c r="BC76" s="248">
        <f>+BB76/BB77</f>
        <v>0</v>
      </c>
      <c r="BD76" s="198" t="s">
        <v>214</v>
      </c>
      <c r="BE76" s="75">
        <v>0</v>
      </c>
      <c r="BF76" s="248">
        <f>+BE76/BE77</f>
        <v>0</v>
      </c>
      <c r="BG76" s="198" t="s">
        <v>214</v>
      </c>
      <c r="BH76" s="75">
        <v>0</v>
      </c>
      <c r="BI76" s="248">
        <f>+BH76/BH77</f>
        <v>0</v>
      </c>
      <c r="BJ76" s="198" t="s">
        <v>214</v>
      </c>
      <c r="BK76" s="75">
        <v>0</v>
      </c>
      <c r="BL76" s="248">
        <f>+BK76/BK77</f>
        <v>0</v>
      </c>
      <c r="BM76" s="198" t="s">
        <v>214</v>
      </c>
      <c r="BN76" s="75">
        <v>0</v>
      </c>
      <c r="BO76" s="248">
        <f>+BN76/BN77</f>
        <v>0</v>
      </c>
      <c r="BP76" s="198" t="s">
        <v>214</v>
      </c>
      <c r="BQ76" s="75">
        <v>0</v>
      </c>
      <c r="BR76" s="248">
        <f>+BQ76/BQ77</f>
        <v>0</v>
      </c>
      <c r="BS76" s="198" t="s">
        <v>214</v>
      </c>
      <c r="BT76" s="75">
        <f t="shared" si="33"/>
        <v>0</v>
      </c>
      <c r="BU76" s="75">
        <v>0</v>
      </c>
      <c r="BV76" s="242">
        <v>0</v>
      </c>
      <c r="BW76" s="73" t="s">
        <v>226</v>
      </c>
      <c r="BX76" s="70">
        <v>0</v>
      </c>
      <c r="BY76" s="242">
        <v>0</v>
      </c>
      <c r="BZ76" s="73" t="s">
        <v>226</v>
      </c>
      <c r="CA76" s="70">
        <v>0</v>
      </c>
      <c r="CB76" s="242">
        <v>0</v>
      </c>
      <c r="CC76" s="73" t="s">
        <v>226</v>
      </c>
      <c r="CD76" s="70">
        <v>1</v>
      </c>
      <c r="CE76" s="242">
        <v>0</v>
      </c>
      <c r="CF76" s="198" t="s">
        <v>277</v>
      </c>
      <c r="CG76" s="70">
        <v>1</v>
      </c>
      <c r="CH76" s="242">
        <f>+CG76/CG77</f>
        <v>6.7385444743935314E-4</v>
      </c>
      <c r="CI76" s="198" t="s">
        <v>306</v>
      </c>
      <c r="CJ76" s="70">
        <v>0</v>
      </c>
      <c r="CK76" s="242">
        <v>0</v>
      </c>
      <c r="CL76" s="73" t="s">
        <v>227</v>
      </c>
      <c r="CM76" s="70">
        <f t="shared" si="34"/>
        <v>2</v>
      </c>
      <c r="CN76" s="70">
        <v>2</v>
      </c>
      <c r="CO76" s="237">
        <f>(CN76/CN77)*1000</f>
        <v>2.2075055187637971</v>
      </c>
      <c r="CP76" s="232" t="s">
        <v>348</v>
      </c>
      <c r="CQ76" s="70">
        <v>0</v>
      </c>
      <c r="CR76" s="237">
        <f>(CQ76/CQ77)*1000</f>
        <v>0</v>
      </c>
      <c r="CS76" s="232" t="s">
        <v>349</v>
      </c>
      <c r="CT76" s="74">
        <v>7</v>
      </c>
      <c r="CU76" s="237">
        <f>(CT76/CT77)*1000</f>
        <v>5.2552552552552561</v>
      </c>
      <c r="CV76" s="232" t="s">
        <v>424</v>
      </c>
      <c r="CW76" s="74">
        <v>6</v>
      </c>
      <c r="CX76" s="237">
        <f>(CW76/CW77)*1000</f>
        <v>6.5217391304347823</v>
      </c>
      <c r="CY76" s="232" t="s">
        <v>425</v>
      </c>
      <c r="CZ76" s="74">
        <v>3</v>
      </c>
      <c r="DA76" s="237">
        <f>(CZ76/CZ77)*1000</f>
        <v>2.4752475247524752</v>
      </c>
      <c r="DB76" s="232" t="s">
        <v>458</v>
      </c>
      <c r="DC76" s="74">
        <v>8</v>
      </c>
      <c r="DD76" s="237">
        <f>(DC76/DC77)*1000</f>
        <v>5.759539236861051</v>
      </c>
      <c r="DF76" s="70">
        <f t="shared" si="35"/>
        <v>26</v>
      </c>
      <c r="DG76" s="267">
        <f t="shared" ref="DG76" si="38">DF76/DF77</f>
        <v>3.7779715199070039E-3</v>
      </c>
      <c r="DH76" s="74">
        <v>6</v>
      </c>
      <c r="DI76" s="237">
        <f>(DH76/DH77)*1000</f>
        <v>4.048582995951417</v>
      </c>
      <c r="DK76" s="104">
        <v>9</v>
      </c>
      <c r="DL76" s="237">
        <f>(DK76/DK77)*1000</f>
        <v>6.3113604488078536</v>
      </c>
      <c r="DM76" s="115">
        <v>2</v>
      </c>
      <c r="DN76" s="237">
        <f>(DM76/DM77)*1000</f>
        <v>1.5060240963855422</v>
      </c>
    </row>
    <row r="77" spans="1:118" ht="36" customHeight="1" x14ac:dyDescent="0.2">
      <c r="A77" s="195"/>
      <c r="B77" s="69" t="s">
        <v>120</v>
      </c>
      <c r="C77" s="75">
        <v>10584</v>
      </c>
      <c r="D77" s="249"/>
      <c r="E77" s="71"/>
      <c r="F77" s="75">
        <v>1922</v>
      </c>
      <c r="G77" s="249"/>
      <c r="H77" s="71"/>
      <c r="I77" s="75">
        <v>1833</v>
      </c>
      <c r="J77" s="249"/>
      <c r="K77" s="71"/>
      <c r="L77" s="75">
        <v>1871</v>
      </c>
      <c r="M77" s="249"/>
      <c r="N77" s="243"/>
      <c r="O77" s="75">
        <v>1836</v>
      </c>
      <c r="P77" s="249"/>
      <c r="Q77" s="243"/>
      <c r="R77" s="75">
        <v>2115</v>
      </c>
      <c r="S77" s="249"/>
      <c r="T77" s="199"/>
      <c r="U77" s="75">
        <v>1798</v>
      </c>
      <c r="V77" s="249"/>
      <c r="W77" s="199"/>
      <c r="X77" s="70">
        <v>1949</v>
      </c>
      <c r="Y77" s="249"/>
      <c r="Z77" s="199"/>
      <c r="AA77" s="70">
        <v>1795</v>
      </c>
      <c r="AB77" s="249"/>
      <c r="AC77" s="199"/>
      <c r="AD77" s="70">
        <v>1940</v>
      </c>
      <c r="AE77" s="249"/>
      <c r="AF77" s="199"/>
      <c r="AG77" s="70">
        <v>1716</v>
      </c>
      <c r="AH77" s="249"/>
      <c r="AI77" s="199"/>
      <c r="AJ77" s="70">
        <v>1833</v>
      </c>
      <c r="AK77" s="249"/>
      <c r="AL77" s="199"/>
      <c r="AM77" s="70">
        <v>1844</v>
      </c>
      <c r="AN77" s="249"/>
      <c r="AO77" s="199"/>
      <c r="AP77" s="70">
        <v>1837</v>
      </c>
      <c r="AQ77" s="249"/>
      <c r="AR77" s="199"/>
      <c r="AS77" s="70">
        <v>1684</v>
      </c>
      <c r="AT77" s="247"/>
      <c r="AU77" s="199"/>
      <c r="AV77" s="70">
        <v>1507</v>
      </c>
      <c r="AW77" s="249"/>
      <c r="AX77" s="199"/>
      <c r="AY77" s="70">
        <v>1484</v>
      </c>
      <c r="AZ77" s="249"/>
      <c r="BA77" s="199"/>
      <c r="BB77" s="70">
        <v>1549</v>
      </c>
      <c r="BC77" s="249"/>
      <c r="BD77" s="199"/>
      <c r="BE77" s="70">
        <v>1517</v>
      </c>
      <c r="BF77" s="249"/>
      <c r="BG77" s="199"/>
      <c r="BH77" s="70">
        <v>1495</v>
      </c>
      <c r="BI77" s="249"/>
      <c r="BJ77" s="199"/>
      <c r="BK77" s="70">
        <v>1437</v>
      </c>
      <c r="BL77" s="249"/>
      <c r="BM77" s="199"/>
      <c r="BN77" s="70">
        <v>1498</v>
      </c>
      <c r="BO77" s="249"/>
      <c r="BP77" s="199"/>
      <c r="BQ77" s="70">
        <v>1432</v>
      </c>
      <c r="BR77" s="249"/>
      <c r="BS77" s="199"/>
      <c r="BT77" s="70">
        <f t="shared" si="33"/>
        <v>8928</v>
      </c>
      <c r="BU77" s="70">
        <v>1316</v>
      </c>
      <c r="BV77" s="243"/>
      <c r="BW77" s="72"/>
      <c r="BX77" s="70">
        <v>1488</v>
      </c>
      <c r="BY77" s="243"/>
      <c r="BZ77" s="72"/>
      <c r="CA77" s="70">
        <v>1323</v>
      </c>
      <c r="CB77" s="243"/>
      <c r="CC77" s="72"/>
      <c r="CD77" s="70">
        <v>1390</v>
      </c>
      <c r="CE77" s="243"/>
      <c r="CF77" s="199"/>
      <c r="CG77" s="70">
        <v>1484</v>
      </c>
      <c r="CH77" s="243"/>
      <c r="CI77" s="199"/>
      <c r="CJ77" s="70">
        <v>1333</v>
      </c>
      <c r="CK77" s="243"/>
      <c r="CL77" s="72"/>
      <c r="CM77" s="70">
        <f t="shared" si="34"/>
        <v>8334</v>
      </c>
      <c r="CN77" s="70">
        <v>906</v>
      </c>
      <c r="CO77" s="238"/>
      <c r="CP77" s="232"/>
      <c r="CQ77" s="70">
        <v>1123</v>
      </c>
      <c r="CR77" s="238"/>
      <c r="CS77" s="232"/>
      <c r="CT77" s="74">
        <v>1332</v>
      </c>
      <c r="CU77" s="238"/>
      <c r="CV77" s="232"/>
      <c r="CW77" s="74">
        <v>920</v>
      </c>
      <c r="CX77" s="238"/>
      <c r="CY77" s="232"/>
      <c r="CZ77" s="74">
        <v>1212</v>
      </c>
      <c r="DA77" s="238"/>
      <c r="DB77" s="232"/>
      <c r="DC77" s="74">
        <v>1389</v>
      </c>
      <c r="DD77" s="238"/>
      <c r="DF77" s="70">
        <f t="shared" si="35"/>
        <v>6882</v>
      </c>
      <c r="DG77" s="268"/>
      <c r="DH77" s="74">
        <v>1482</v>
      </c>
      <c r="DI77" s="238"/>
      <c r="DK77" s="74">
        <v>1426</v>
      </c>
      <c r="DL77" s="238"/>
      <c r="DM77" s="115">
        <v>1328</v>
      </c>
      <c r="DN77" s="238"/>
    </row>
    <row r="78" spans="1:118" ht="78.75" customHeight="1" x14ac:dyDescent="0.2">
      <c r="A78" s="195" t="s">
        <v>121</v>
      </c>
      <c r="B78" s="69" t="s">
        <v>122</v>
      </c>
      <c r="C78" s="75">
        <v>23</v>
      </c>
      <c r="D78" s="248">
        <f>+C78/C79</f>
        <v>3.3318846878168914E-3</v>
      </c>
      <c r="E78" s="71"/>
      <c r="F78" s="75">
        <v>9</v>
      </c>
      <c r="G78" s="248">
        <f>+F78/F79</f>
        <v>7.1258907363420431E-3</v>
      </c>
      <c r="H78" s="242"/>
      <c r="I78" s="75">
        <v>5</v>
      </c>
      <c r="J78" s="248">
        <f>+I78/I79</f>
        <v>4.6904315196998128E-3</v>
      </c>
      <c r="K78" s="198"/>
      <c r="L78" s="75">
        <v>11</v>
      </c>
      <c r="M78" s="248">
        <f>+L78/L79</f>
        <v>9.1135045567522777E-3</v>
      </c>
      <c r="N78" s="242"/>
      <c r="O78" s="75">
        <v>1</v>
      </c>
      <c r="P78" s="248">
        <f>+O78/O79</f>
        <v>8.658008658008658E-4</v>
      </c>
      <c r="Q78" s="242"/>
      <c r="R78" s="75">
        <v>0</v>
      </c>
      <c r="S78" s="248">
        <f>+R78/R79</f>
        <v>0</v>
      </c>
      <c r="T78" s="198" t="s">
        <v>173</v>
      </c>
      <c r="U78" s="75">
        <v>11</v>
      </c>
      <c r="V78" s="248">
        <f>+U78/U79</f>
        <v>1.055662188099808E-2</v>
      </c>
      <c r="W78" s="198"/>
      <c r="X78" s="75">
        <v>7</v>
      </c>
      <c r="Y78" s="248">
        <f>+X78/X79</f>
        <v>5.8284762697751874E-3</v>
      </c>
      <c r="Z78" s="198"/>
      <c r="AA78" s="75">
        <v>0</v>
      </c>
      <c r="AB78" s="248">
        <f>+AA78/AA79</f>
        <v>0</v>
      </c>
      <c r="AC78" s="198"/>
      <c r="AD78" s="75">
        <v>0</v>
      </c>
      <c r="AE78" s="248">
        <f>+AD78/AD79</f>
        <v>0</v>
      </c>
      <c r="AF78" s="198"/>
      <c r="AG78" s="75">
        <v>0</v>
      </c>
      <c r="AH78" s="248">
        <f>+AG78/AG79</f>
        <v>0</v>
      </c>
      <c r="AI78" s="198" t="s">
        <v>189</v>
      </c>
      <c r="AJ78" s="75">
        <v>0</v>
      </c>
      <c r="AK78" s="248">
        <f>+AJ78/AJ79</f>
        <v>0</v>
      </c>
      <c r="AL78" s="198" t="s">
        <v>189</v>
      </c>
      <c r="AM78" s="75">
        <v>3</v>
      </c>
      <c r="AN78" s="248">
        <f>+AM78/AM79</f>
        <v>2.8222013170272815E-3</v>
      </c>
      <c r="AO78" s="198"/>
      <c r="AP78" s="75">
        <v>0</v>
      </c>
      <c r="AQ78" s="248">
        <f>+AP78/AP79</f>
        <v>0</v>
      </c>
      <c r="AR78" s="198" t="s">
        <v>189</v>
      </c>
      <c r="AS78" s="75">
        <v>7</v>
      </c>
      <c r="AT78" s="248">
        <f>+AS78/AS79</f>
        <v>6.9033530571992107E-3</v>
      </c>
      <c r="AU78" s="198"/>
      <c r="AV78" s="75">
        <v>6</v>
      </c>
      <c r="AW78" s="248">
        <f>+AV78/AV79</f>
        <v>6.3224446786090622E-3</v>
      </c>
      <c r="AX78" s="198"/>
      <c r="AY78" s="75">
        <v>15</v>
      </c>
      <c r="AZ78" s="248">
        <f>+AY78/AY79</f>
        <v>1.6393442622950821E-2</v>
      </c>
      <c r="BA78" s="198"/>
      <c r="BB78" s="75">
        <v>5</v>
      </c>
      <c r="BC78" s="246">
        <f>+BB78/BB79</f>
        <v>6.2578222778473091E-3</v>
      </c>
      <c r="BD78" s="198"/>
      <c r="BE78" s="75">
        <v>35</v>
      </c>
      <c r="BF78" s="248">
        <f>+BE78/BE79</f>
        <v>4.0697674418604654E-2</v>
      </c>
      <c r="BG78" s="198"/>
      <c r="BH78" s="75">
        <v>23</v>
      </c>
      <c r="BI78" s="248">
        <f>+BH78/BH79</f>
        <v>2.7577937649880094E-2</v>
      </c>
      <c r="BJ78" s="198"/>
      <c r="BK78" s="75">
        <v>11</v>
      </c>
      <c r="BL78" s="248">
        <f>+BK78/BK79</f>
        <v>1.4322916666666666E-2</v>
      </c>
      <c r="BM78" s="198"/>
      <c r="BN78" s="75">
        <v>8</v>
      </c>
      <c r="BO78" s="248">
        <f>+BN78/BN79</f>
        <v>1.015228426395939E-2</v>
      </c>
      <c r="BP78" s="198"/>
      <c r="BQ78" s="75">
        <v>1</v>
      </c>
      <c r="BR78" s="248">
        <f>+BQ78/BQ79</f>
        <v>1.3477088948787063E-3</v>
      </c>
      <c r="BS78" s="198"/>
      <c r="BT78" s="75">
        <f t="shared" si="33"/>
        <v>83</v>
      </c>
      <c r="BU78" s="75">
        <v>7</v>
      </c>
      <c r="BV78" s="246">
        <f>BU78/BU79</f>
        <v>9.8176718092566617E-3</v>
      </c>
      <c r="BW78" s="198" t="s">
        <v>242</v>
      </c>
      <c r="BX78" s="70">
        <v>6</v>
      </c>
      <c r="BY78" s="246">
        <f>BX78/BX79</f>
        <v>7.8534031413612562E-3</v>
      </c>
      <c r="BZ78" s="198" t="s">
        <v>243</v>
      </c>
      <c r="CA78" s="70">
        <v>6</v>
      </c>
      <c r="CB78" s="246">
        <f>CA78/CA79</f>
        <v>8.3333333333333332E-3</v>
      </c>
      <c r="CC78" s="198" t="s">
        <v>243</v>
      </c>
      <c r="CD78" s="70">
        <v>11</v>
      </c>
      <c r="CE78" s="246">
        <f>CD78/CD79</f>
        <v>1.4454664914586071E-2</v>
      </c>
      <c r="CF78" s="198" t="s">
        <v>278</v>
      </c>
      <c r="CG78" s="70">
        <v>2</v>
      </c>
      <c r="CH78" s="246">
        <f>CG78/CG79</f>
        <v>1.2135922330097086E-3</v>
      </c>
      <c r="CI78" s="198" t="s">
        <v>307</v>
      </c>
      <c r="CJ78" s="70">
        <v>0</v>
      </c>
      <c r="CK78" s="246">
        <f>CJ78/CJ79</f>
        <v>0</v>
      </c>
      <c r="CL78" s="73" t="s">
        <v>227</v>
      </c>
      <c r="CM78" s="70">
        <f t="shared" si="34"/>
        <v>32</v>
      </c>
      <c r="CN78" s="70">
        <v>1</v>
      </c>
      <c r="CO78" s="230">
        <f>(CN78/CN79)*1000</f>
        <v>1.124859392575928</v>
      </c>
      <c r="CP78" s="232" t="s">
        <v>350</v>
      </c>
      <c r="CQ78" s="70">
        <v>2</v>
      </c>
      <c r="CR78" s="230">
        <f>(CQ78/CQ79)*1000</f>
        <v>1.8331805682859763</v>
      </c>
      <c r="CS78" s="232" t="s">
        <v>351</v>
      </c>
      <c r="CT78" s="74">
        <v>13</v>
      </c>
      <c r="CU78" s="230">
        <f>(CT78/CT79)*1000</f>
        <v>17.520215633423181</v>
      </c>
      <c r="CV78" s="232" t="s">
        <v>423</v>
      </c>
      <c r="CW78" s="74">
        <v>4</v>
      </c>
      <c r="CX78" s="230">
        <f>(CW78/CW79)*1000</f>
        <v>6.6889632107023411</v>
      </c>
      <c r="CY78" s="232" t="s">
        <v>426</v>
      </c>
      <c r="CZ78" s="74">
        <v>11</v>
      </c>
      <c r="DA78" s="230">
        <f>(CZ78/CZ79)*1000</f>
        <v>19.298245614035089</v>
      </c>
      <c r="DB78" s="232" t="s">
        <v>459</v>
      </c>
      <c r="DC78" s="74">
        <v>18</v>
      </c>
      <c r="DD78" s="230">
        <f>(DC78/DC79)*1000</f>
        <v>25.899280575539567</v>
      </c>
      <c r="DF78" s="70">
        <f t="shared" si="35"/>
        <v>49</v>
      </c>
      <c r="DG78" s="267">
        <f t="shared" ref="DG78" si="39">DF78/DF79</f>
        <v>1.0687022900763359E-2</v>
      </c>
      <c r="DH78" s="74">
        <v>13</v>
      </c>
      <c r="DI78" s="230">
        <f>(DH78/DH79)*1000</f>
        <v>18.705035971223019</v>
      </c>
      <c r="DK78" s="104">
        <v>21</v>
      </c>
      <c r="DL78" s="230">
        <f>(DK78/DK79)*1000</f>
        <v>28.074866310160431</v>
      </c>
      <c r="DM78" s="115">
        <v>15</v>
      </c>
      <c r="DN78" s="230">
        <f>(DM78/DM79)*1000</f>
        <v>21.30681818181818</v>
      </c>
    </row>
    <row r="79" spans="1:118" ht="36" customHeight="1" x14ac:dyDescent="0.2">
      <c r="A79" s="195"/>
      <c r="B79" s="69" t="s">
        <v>123</v>
      </c>
      <c r="C79" s="75">
        <v>6903</v>
      </c>
      <c r="D79" s="249"/>
      <c r="E79" s="71"/>
      <c r="F79" s="75">
        <v>1263</v>
      </c>
      <c r="G79" s="249"/>
      <c r="H79" s="243"/>
      <c r="I79" s="75">
        <v>1066</v>
      </c>
      <c r="J79" s="249"/>
      <c r="K79" s="199"/>
      <c r="L79" s="75">
        <v>1207</v>
      </c>
      <c r="M79" s="249"/>
      <c r="N79" s="243"/>
      <c r="O79" s="75">
        <v>1155</v>
      </c>
      <c r="P79" s="249"/>
      <c r="Q79" s="243"/>
      <c r="R79" s="75">
        <v>1284</v>
      </c>
      <c r="S79" s="249"/>
      <c r="T79" s="199"/>
      <c r="U79" s="75">
        <v>1042</v>
      </c>
      <c r="V79" s="249"/>
      <c r="W79" s="199"/>
      <c r="X79" s="75">
        <v>1201</v>
      </c>
      <c r="Y79" s="249"/>
      <c r="Z79" s="199"/>
      <c r="AA79" s="75">
        <v>1111</v>
      </c>
      <c r="AB79" s="249"/>
      <c r="AC79" s="199"/>
      <c r="AD79" s="75">
        <v>1155</v>
      </c>
      <c r="AE79" s="249"/>
      <c r="AF79" s="199"/>
      <c r="AG79" s="75">
        <v>1079</v>
      </c>
      <c r="AH79" s="249"/>
      <c r="AI79" s="199"/>
      <c r="AJ79" s="75">
        <v>1154</v>
      </c>
      <c r="AK79" s="249"/>
      <c r="AL79" s="199"/>
      <c r="AM79" s="75">
        <v>1063</v>
      </c>
      <c r="AN79" s="249"/>
      <c r="AO79" s="199"/>
      <c r="AP79" s="75">
        <v>1039</v>
      </c>
      <c r="AQ79" s="249"/>
      <c r="AR79" s="199"/>
      <c r="AS79" s="75">
        <v>1014</v>
      </c>
      <c r="AT79" s="249"/>
      <c r="AU79" s="199"/>
      <c r="AV79" s="75">
        <v>949</v>
      </c>
      <c r="AW79" s="249"/>
      <c r="AX79" s="199"/>
      <c r="AY79" s="75">
        <v>915</v>
      </c>
      <c r="AZ79" s="249"/>
      <c r="BA79" s="199"/>
      <c r="BB79" s="75">
        <v>799</v>
      </c>
      <c r="BC79" s="247"/>
      <c r="BD79" s="199"/>
      <c r="BE79" s="75">
        <v>860</v>
      </c>
      <c r="BF79" s="249"/>
      <c r="BG79" s="199"/>
      <c r="BH79" s="75">
        <v>834</v>
      </c>
      <c r="BI79" s="249"/>
      <c r="BJ79" s="199"/>
      <c r="BK79" s="75">
        <v>768</v>
      </c>
      <c r="BL79" s="249"/>
      <c r="BM79" s="199"/>
      <c r="BN79" s="75">
        <v>788</v>
      </c>
      <c r="BO79" s="249"/>
      <c r="BP79" s="199"/>
      <c r="BQ79" s="75">
        <v>742</v>
      </c>
      <c r="BR79" s="249"/>
      <c r="BS79" s="199"/>
      <c r="BT79" s="75">
        <f t="shared" si="33"/>
        <v>4791</v>
      </c>
      <c r="BU79" s="75">
        <v>713</v>
      </c>
      <c r="BV79" s="247"/>
      <c r="BW79" s="199"/>
      <c r="BX79" s="70">
        <v>764</v>
      </c>
      <c r="BY79" s="247"/>
      <c r="BZ79" s="199"/>
      <c r="CA79" s="70">
        <v>720</v>
      </c>
      <c r="CB79" s="247"/>
      <c r="CC79" s="199"/>
      <c r="CD79" s="70">
        <v>761</v>
      </c>
      <c r="CE79" s="247"/>
      <c r="CF79" s="199"/>
      <c r="CG79" s="70">
        <v>1648</v>
      </c>
      <c r="CH79" s="247"/>
      <c r="CI79" s="199"/>
      <c r="CJ79" s="70">
        <v>1328</v>
      </c>
      <c r="CK79" s="247"/>
      <c r="CL79" s="72"/>
      <c r="CM79" s="70">
        <f t="shared" si="34"/>
        <v>5934</v>
      </c>
      <c r="CN79" s="70">
        <v>889</v>
      </c>
      <c r="CO79" s="231"/>
      <c r="CP79" s="232"/>
      <c r="CQ79" s="70">
        <v>1091</v>
      </c>
      <c r="CR79" s="231"/>
      <c r="CS79" s="232"/>
      <c r="CT79" s="74">
        <v>742</v>
      </c>
      <c r="CU79" s="231"/>
      <c r="CV79" s="232"/>
      <c r="CW79" s="74">
        <v>598</v>
      </c>
      <c r="CX79" s="231"/>
      <c r="CY79" s="232"/>
      <c r="CZ79" s="74">
        <v>570</v>
      </c>
      <c r="DA79" s="231"/>
      <c r="DB79" s="232"/>
      <c r="DC79" s="74">
        <v>695</v>
      </c>
      <c r="DD79" s="231"/>
      <c r="DF79" s="70">
        <f t="shared" si="35"/>
        <v>4585</v>
      </c>
      <c r="DG79" s="268"/>
      <c r="DH79" s="74">
        <v>695</v>
      </c>
      <c r="DI79" s="231"/>
      <c r="DK79" s="74">
        <v>748</v>
      </c>
      <c r="DL79" s="231"/>
      <c r="DM79" s="111">
        <v>704</v>
      </c>
      <c r="DN79" s="231"/>
    </row>
    <row r="80" spans="1:118" ht="77.25" customHeight="1" x14ac:dyDescent="0.2">
      <c r="A80" s="195" t="s">
        <v>124</v>
      </c>
      <c r="B80" s="69" t="s">
        <v>125</v>
      </c>
      <c r="C80" s="75">
        <v>12</v>
      </c>
      <c r="D80" s="248">
        <f>+C80/C81</f>
        <v>2.5850926324859974E-3</v>
      </c>
      <c r="E80" s="71"/>
      <c r="F80" s="75">
        <v>175</v>
      </c>
      <c r="G80" s="248">
        <f>+F80/F81</f>
        <v>0.16973811833171679</v>
      </c>
      <c r="H80" s="71"/>
      <c r="I80" s="75">
        <v>373</v>
      </c>
      <c r="J80" s="248">
        <f>+I80/I81</f>
        <v>0.96883116883116882</v>
      </c>
      <c r="K80" s="69"/>
      <c r="L80" s="75">
        <v>7</v>
      </c>
      <c r="M80" s="248">
        <f>+L80/L81</f>
        <v>8.2644628099173556E-3</v>
      </c>
      <c r="N80" s="242"/>
      <c r="O80" s="75">
        <v>2</v>
      </c>
      <c r="P80" s="246">
        <f>+O80/O81</f>
        <v>3.1545741324921135E-3</v>
      </c>
      <c r="Q80" s="242"/>
      <c r="R80" s="75">
        <v>5</v>
      </c>
      <c r="S80" s="246">
        <f>+R80/R81</f>
        <v>1.0060362173038229E-2</v>
      </c>
      <c r="T80" s="198" t="s">
        <v>176</v>
      </c>
      <c r="U80" s="75">
        <v>3</v>
      </c>
      <c r="V80" s="246">
        <f>+U80/U81</f>
        <v>5.0590219224283303E-3</v>
      </c>
      <c r="W80" s="198" t="s">
        <v>179</v>
      </c>
      <c r="X80" s="75">
        <v>9</v>
      </c>
      <c r="Y80" s="246">
        <f>+X80/X81</f>
        <v>1.5177065767284991E-2</v>
      </c>
      <c r="Z80" s="198" t="s">
        <v>184</v>
      </c>
      <c r="AA80" s="75">
        <v>16</v>
      </c>
      <c r="AB80" s="246">
        <f>+AA80/AA81</f>
        <v>3.4934497816593885E-2</v>
      </c>
      <c r="AC80" s="198"/>
      <c r="AD80" s="75">
        <v>0</v>
      </c>
      <c r="AE80" s="246">
        <f>+AD80/AD81</f>
        <v>0</v>
      </c>
      <c r="AF80" s="198"/>
      <c r="AG80" s="75">
        <v>14</v>
      </c>
      <c r="AH80" s="246">
        <f>+AG80/AG81</f>
        <v>1.557285873192436E-2</v>
      </c>
      <c r="AI80" s="198"/>
      <c r="AJ80" s="75">
        <v>10</v>
      </c>
      <c r="AK80" s="246">
        <f>+AJ80/AJ81</f>
        <v>1.1848341232227487E-2</v>
      </c>
      <c r="AL80" s="198"/>
      <c r="AM80" s="75">
        <v>111</v>
      </c>
      <c r="AN80" s="246">
        <f>+AM80/AM81</f>
        <v>0.25754060324825984</v>
      </c>
      <c r="AO80" s="198"/>
      <c r="AP80" s="75">
        <v>108</v>
      </c>
      <c r="AQ80" s="246">
        <f>+AP80/AP81</f>
        <v>0.2011173184357542</v>
      </c>
      <c r="AR80" s="198"/>
      <c r="AS80" s="75">
        <v>6</v>
      </c>
      <c r="AT80" s="246">
        <f>+AS80/AS81</f>
        <v>9.9667774086378731E-3</v>
      </c>
      <c r="AU80" s="198"/>
      <c r="AV80" s="75">
        <v>57</v>
      </c>
      <c r="AW80" s="246">
        <f>+AV80/AV81</f>
        <v>0.10382513661202186</v>
      </c>
      <c r="AX80" s="198"/>
      <c r="AY80" s="75">
        <v>14</v>
      </c>
      <c r="AZ80" s="246">
        <f>+AY80/AY81</f>
        <v>4.2296072507552872E-2</v>
      </c>
      <c r="BA80" s="198"/>
      <c r="BB80" s="75">
        <v>8</v>
      </c>
      <c r="BC80" s="246">
        <f>+BB80/BB81</f>
        <v>2.185792349726776E-2</v>
      </c>
      <c r="BD80" s="198" t="s">
        <v>215</v>
      </c>
      <c r="BE80" s="75">
        <v>4</v>
      </c>
      <c r="BF80" s="246">
        <f>+BE80/BE81</f>
        <v>9.1324200913242004E-3</v>
      </c>
      <c r="BG80" s="198" t="s">
        <v>217</v>
      </c>
      <c r="BH80" s="75">
        <v>13</v>
      </c>
      <c r="BI80" s="246">
        <f>+BH80/BH81</f>
        <v>3.439153439153439E-2</v>
      </c>
      <c r="BJ80" s="198" t="s">
        <v>219</v>
      </c>
      <c r="BK80" s="75">
        <v>6</v>
      </c>
      <c r="BL80" s="246">
        <f>+BK80/BK81</f>
        <v>1.2578616352201259E-2</v>
      </c>
      <c r="BM80" s="198"/>
      <c r="BN80" s="75">
        <v>7</v>
      </c>
      <c r="BO80" s="246">
        <f>+BN80/BN81</f>
        <v>1.289134438305709E-2</v>
      </c>
      <c r="BP80" s="198"/>
      <c r="BQ80" s="75">
        <v>9</v>
      </c>
      <c r="BR80" s="246">
        <f>+BQ80/BQ81</f>
        <v>2.1582733812949641E-2</v>
      </c>
      <c r="BS80" s="198"/>
      <c r="BT80" s="75">
        <f t="shared" si="33"/>
        <v>47</v>
      </c>
      <c r="BU80" s="75">
        <v>4</v>
      </c>
      <c r="BV80" s="239">
        <f>BU80/BU81</f>
        <v>7.5901328273244783E-3</v>
      </c>
      <c r="BW80" s="198" t="s">
        <v>245</v>
      </c>
      <c r="BX80" s="70">
        <v>5</v>
      </c>
      <c r="BY80" s="239">
        <f>BX80/BX81</f>
        <v>8.1168831168831161E-3</v>
      </c>
      <c r="BZ80" s="198" t="s">
        <v>244</v>
      </c>
      <c r="CA80" s="70">
        <v>0</v>
      </c>
      <c r="CB80" s="239">
        <f>CA80/CA81</f>
        <v>0</v>
      </c>
      <c r="CC80" s="198" t="s">
        <v>263</v>
      </c>
      <c r="CD80" s="70">
        <v>3</v>
      </c>
      <c r="CE80" s="239">
        <f>CD80/CD81</f>
        <v>5.0000000000000001E-3</v>
      </c>
      <c r="CF80" s="198" t="s">
        <v>280</v>
      </c>
      <c r="CG80" s="70">
        <v>12</v>
      </c>
      <c r="CH80" s="239">
        <f>CG80/CG81</f>
        <v>2.3166023166023165E-2</v>
      </c>
      <c r="CI80" s="198" t="s">
        <v>308</v>
      </c>
      <c r="CJ80" s="70">
        <v>0</v>
      </c>
      <c r="CK80" s="239">
        <f>CJ80/CJ81</f>
        <v>0</v>
      </c>
      <c r="CL80" s="73" t="s">
        <v>227</v>
      </c>
      <c r="CM80" s="70">
        <f t="shared" si="34"/>
        <v>24</v>
      </c>
      <c r="CN80" s="70">
        <v>0</v>
      </c>
      <c r="CO80" s="233">
        <v>0</v>
      </c>
      <c r="CP80" s="232" t="s">
        <v>352</v>
      </c>
      <c r="CQ80" s="70">
        <v>31</v>
      </c>
      <c r="CR80" s="233">
        <f>CQ80/CQ81</f>
        <v>0.17222222222222222</v>
      </c>
      <c r="CS80" s="232" t="s">
        <v>353</v>
      </c>
      <c r="CT80" s="70">
        <v>29</v>
      </c>
      <c r="CU80" s="233">
        <f>CT80/CT81</f>
        <v>6.0542797494780795E-2</v>
      </c>
      <c r="CV80" s="232" t="s">
        <v>392</v>
      </c>
      <c r="CW80" s="70">
        <v>14</v>
      </c>
      <c r="CX80" s="219">
        <f>CW80/CW81</f>
        <v>2.4822695035460994E-2</v>
      </c>
      <c r="CY80" s="232" t="s">
        <v>427</v>
      </c>
      <c r="CZ80" s="70">
        <v>0</v>
      </c>
      <c r="DA80" s="233">
        <f>CZ80/CZ81</f>
        <v>0</v>
      </c>
      <c r="DB80" s="232" t="s">
        <v>460</v>
      </c>
      <c r="DC80" s="70">
        <v>0</v>
      </c>
      <c r="DD80" s="233" t="e">
        <f>DC80/DC81</f>
        <v>#DIV/0!</v>
      </c>
      <c r="DF80" s="70">
        <f t="shared" si="35"/>
        <v>74</v>
      </c>
      <c r="DG80" s="267">
        <f t="shared" ref="DG80" si="40">DF80/DF81</f>
        <v>5.6661562021439509E-2</v>
      </c>
      <c r="DH80" s="70">
        <v>14</v>
      </c>
      <c r="DI80" s="233">
        <f>DH80/DH81</f>
        <v>0.12389380530973451</v>
      </c>
      <c r="DK80" s="108">
        <v>10</v>
      </c>
      <c r="DL80" s="228">
        <f>DK80/DK81</f>
        <v>1.680672268907563E-2</v>
      </c>
      <c r="DM80" s="108">
        <v>20</v>
      </c>
      <c r="DN80" s="228">
        <f>DM80/DM81</f>
        <v>3.9525691699604744E-2</v>
      </c>
    </row>
    <row r="81" spans="1:118" ht="58.5" customHeight="1" x14ac:dyDescent="0.2">
      <c r="A81" s="195"/>
      <c r="B81" s="69" t="s">
        <v>126</v>
      </c>
      <c r="C81" s="75">
        <v>4642</v>
      </c>
      <c r="D81" s="249"/>
      <c r="E81" s="71"/>
      <c r="F81" s="75">
        <f>856+175</f>
        <v>1031</v>
      </c>
      <c r="G81" s="249"/>
      <c r="H81" s="71"/>
      <c r="I81" s="75">
        <v>385</v>
      </c>
      <c r="J81" s="249"/>
      <c r="K81" s="71"/>
      <c r="L81" s="75">
        <f>840+7</f>
        <v>847</v>
      </c>
      <c r="M81" s="249"/>
      <c r="N81" s="243"/>
      <c r="O81" s="75">
        <v>634</v>
      </c>
      <c r="P81" s="247"/>
      <c r="Q81" s="243"/>
      <c r="R81" s="75">
        <v>497</v>
      </c>
      <c r="S81" s="247"/>
      <c r="T81" s="199"/>
      <c r="U81" s="75">
        <f>584+9</f>
        <v>593</v>
      </c>
      <c r="V81" s="247"/>
      <c r="W81" s="199"/>
      <c r="X81" s="75">
        <f>575+18</f>
        <v>593</v>
      </c>
      <c r="Y81" s="247"/>
      <c r="Z81" s="199"/>
      <c r="AA81" s="75">
        <v>458</v>
      </c>
      <c r="AB81" s="247"/>
      <c r="AC81" s="199"/>
      <c r="AD81" s="75">
        <v>653</v>
      </c>
      <c r="AE81" s="247"/>
      <c r="AF81" s="199"/>
      <c r="AG81" s="75">
        <f>52+847</f>
        <v>899</v>
      </c>
      <c r="AH81" s="247"/>
      <c r="AI81" s="199"/>
      <c r="AJ81" s="75">
        <f>43+801</f>
        <v>844</v>
      </c>
      <c r="AK81" s="247"/>
      <c r="AL81" s="199"/>
      <c r="AM81" s="75">
        <v>431</v>
      </c>
      <c r="AN81" s="247"/>
      <c r="AO81" s="199"/>
      <c r="AP81" s="75">
        <f>108+429</f>
        <v>537</v>
      </c>
      <c r="AQ81" s="247"/>
      <c r="AR81" s="199"/>
      <c r="AS81" s="75">
        <f>596+6</f>
        <v>602</v>
      </c>
      <c r="AT81" s="247"/>
      <c r="AU81" s="199"/>
      <c r="AV81" s="75">
        <f>492+AV80</f>
        <v>549</v>
      </c>
      <c r="AW81" s="247"/>
      <c r="AX81" s="199"/>
      <c r="AY81" s="75">
        <f>+AY80+317</f>
        <v>331</v>
      </c>
      <c r="AZ81" s="247"/>
      <c r="BA81" s="199"/>
      <c r="BB81" s="75">
        <f>342+24</f>
        <v>366</v>
      </c>
      <c r="BC81" s="247"/>
      <c r="BD81" s="199"/>
      <c r="BE81" s="75">
        <f>434+4</f>
        <v>438</v>
      </c>
      <c r="BF81" s="247"/>
      <c r="BG81" s="199"/>
      <c r="BH81" s="75">
        <f>356+22</f>
        <v>378</v>
      </c>
      <c r="BI81" s="247"/>
      <c r="BJ81" s="199"/>
      <c r="BK81" s="75">
        <f>466+11</f>
        <v>477</v>
      </c>
      <c r="BL81" s="247"/>
      <c r="BM81" s="199"/>
      <c r="BN81" s="75">
        <f>509+34</f>
        <v>543</v>
      </c>
      <c r="BO81" s="247"/>
      <c r="BP81" s="199"/>
      <c r="BQ81" s="75">
        <f>379+38</f>
        <v>417</v>
      </c>
      <c r="BR81" s="247"/>
      <c r="BS81" s="199"/>
      <c r="BT81" s="75">
        <f t="shared" si="33"/>
        <v>2619</v>
      </c>
      <c r="BU81" s="75">
        <f>505+22</f>
        <v>527</v>
      </c>
      <c r="BV81" s="240"/>
      <c r="BW81" s="199"/>
      <c r="BX81" s="70">
        <f>563+53</f>
        <v>616</v>
      </c>
      <c r="BY81" s="240"/>
      <c r="BZ81" s="199"/>
      <c r="CA81" s="70">
        <v>500</v>
      </c>
      <c r="CB81" s="240"/>
      <c r="CC81" s="199"/>
      <c r="CD81" s="70">
        <f>17+583</f>
        <v>600</v>
      </c>
      <c r="CE81" s="240"/>
      <c r="CF81" s="199"/>
      <c r="CG81" s="70">
        <v>518</v>
      </c>
      <c r="CH81" s="240"/>
      <c r="CI81" s="199"/>
      <c r="CJ81" s="70">
        <v>42</v>
      </c>
      <c r="CK81" s="240"/>
      <c r="CL81" s="72"/>
      <c r="CM81" s="70">
        <f t="shared" si="34"/>
        <v>2803</v>
      </c>
      <c r="CN81" s="70">
        <v>0</v>
      </c>
      <c r="CO81" s="234"/>
      <c r="CP81" s="232"/>
      <c r="CQ81" s="70">
        <v>180</v>
      </c>
      <c r="CR81" s="234"/>
      <c r="CS81" s="232"/>
      <c r="CT81" s="70">
        <f>51+428</f>
        <v>479</v>
      </c>
      <c r="CU81" s="234"/>
      <c r="CV81" s="232"/>
      <c r="CW81" s="70">
        <v>564</v>
      </c>
      <c r="CX81" s="220"/>
      <c r="CY81" s="232" t="s">
        <v>436</v>
      </c>
      <c r="CZ81" s="70">
        <v>83</v>
      </c>
      <c r="DA81" s="234"/>
      <c r="DB81" s="232"/>
      <c r="DC81" s="70">
        <v>0</v>
      </c>
      <c r="DD81" s="234"/>
      <c r="DF81" s="70">
        <f t="shared" si="35"/>
        <v>1306</v>
      </c>
      <c r="DG81" s="268"/>
      <c r="DH81" s="70">
        <v>113</v>
      </c>
      <c r="DI81" s="234"/>
      <c r="DK81" s="108">
        <v>595</v>
      </c>
      <c r="DL81" s="228"/>
      <c r="DM81" s="108">
        <v>506</v>
      </c>
      <c r="DN81" s="228"/>
    </row>
    <row r="82" spans="1:118" ht="71.25" hidden="1" customHeight="1" x14ac:dyDescent="0.2">
      <c r="A82" s="195" t="s">
        <v>127</v>
      </c>
      <c r="B82" s="69" t="s">
        <v>128</v>
      </c>
      <c r="C82" s="70">
        <v>0</v>
      </c>
      <c r="D82" s="248">
        <v>0</v>
      </c>
      <c r="E82" s="71"/>
      <c r="F82" s="70">
        <v>0</v>
      </c>
      <c r="G82" s="248" t="s">
        <v>47</v>
      </c>
      <c r="H82" s="71"/>
      <c r="I82" s="70">
        <v>0</v>
      </c>
      <c r="J82" s="248" t="s">
        <v>47</v>
      </c>
      <c r="K82" s="71"/>
      <c r="L82" s="70">
        <v>0</v>
      </c>
      <c r="M82" s="248" t="s">
        <v>47</v>
      </c>
      <c r="N82" s="242"/>
      <c r="O82" s="70">
        <v>0</v>
      </c>
      <c r="P82" s="248" t="s">
        <v>47</v>
      </c>
      <c r="Q82" s="242"/>
      <c r="R82" s="70">
        <v>0</v>
      </c>
      <c r="S82" s="248" t="s">
        <v>47</v>
      </c>
      <c r="T82" s="242"/>
      <c r="U82" s="70">
        <v>0</v>
      </c>
      <c r="V82" s="248" t="s">
        <v>47</v>
      </c>
      <c r="W82" s="242"/>
      <c r="X82" s="70">
        <v>0</v>
      </c>
      <c r="Y82" s="248" t="s">
        <v>47</v>
      </c>
      <c r="Z82" s="242"/>
      <c r="AA82" s="70">
        <v>0</v>
      </c>
      <c r="AB82" s="248" t="s">
        <v>47</v>
      </c>
      <c r="AC82" s="242"/>
      <c r="AD82" s="70">
        <v>0</v>
      </c>
      <c r="AE82" s="248" t="s">
        <v>47</v>
      </c>
      <c r="AF82" s="242"/>
      <c r="AG82" s="70">
        <v>0</v>
      </c>
      <c r="AH82" s="248" t="s">
        <v>47</v>
      </c>
      <c r="AI82" s="242"/>
      <c r="AJ82" s="70">
        <v>0</v>
      </c>
      <c r="AK82" s="248" t="s">
        <v>47</v>
      </c>
      <c r="AL82" s="242"/>
      <c r="AM82" s="70" t="s">
        <v>47</v>
      </c>
      <c r="AN82" s="248" t="s">
        <v>47</v>
      </c>
      <c r="AO82" s="242"/>
      <c r="AP82" s="70" t="s">
        <v>47</v>
      </c>
      <c r="AQ82" s="248" t="s">
        <v>47</v>
      </c>
      <c r="AR82" s="242"/>
      <c r="AS82" s="70" t="s">
        <v>47</v>
      </c>
      <c r="AT82" s="248" t="s">
        <v>47</v>
      </c>
      <c r="AU82" s="242"/>
      <c r="AV82" s="70" t="s">
        <v>47</v>
      </c>
      <c r="AW82" s="248" t="s">
        <v>47</v>
      </c>
      <c r="AX82" s="242"/>
      <c r="AY82" s="70" t="s">
        <v>47</v>
      </c>
      <c r="AZ82" s="248" t="s">
        <v>47</v>
      </c>
      <c r="BA82" s="242"/>
      <c r="BB82" s="70" t="s">
        <v>47</v>
      </c>
      <c r="BC82" s="248" t="s">
        <v>47</v>
      </c>
      <c r="BD82" s="242"/>
      <c r="BE82" s="70"/>
      <c r="BF82" s="248" t="s">
        <v>47</v>
      </c>
      <c r="BG82" s="242"/>
      <c r="BH82" s="70"/>
      <c r="BI82" s="248" t="s">
        <v>47</v>
      </c>
      <c r="BJ82" s="242"/>
      <c r="BK82" s="70"/>
      <c r="BL82" s="248" t="s">
        <v>47</v>
      </c>
      <c r="BM82" s="242"/>
      <c r="BN82" s="70"/>
      <c r="BO82" s="248" t="s">
        <v>47</v>
      </c>
      <c r="BP82" s="242"/>
      <c r="BQ82" s="70"/>
      <c r="BR82" s="248" t="s">
        <v>47</v>
      </c>
      <c r="BS82" s="242"/>
      <c r="BT82" s="70" t="e">
        <f t="shared" si="33"/>
        <v>#VALUE!</v>
      </c>
      <c r="BU82" s="70"/>
      <c r="BV82" s="242"/>
      <c r="BW82" s="72"/>
      <c r="BX82" s="70"/>
      <c r="BY82" s="242"/>
      <c r="BZ82" s="72"/>
      <c r="CA82" s="70"/>
      <c r="CB82" s="242"/>
      <c r="CC82" s="72"/>
      <c r="CD82" s="70"/>
      <c r="CE82" s="242"/>
      <c r="CF82" s="72"/>
      <c r="CG82" s="70"/>
      <c r="CH82" s="242"/>
      <c r="CI82" s="72"/>
      <c r="CJ82" s="70"/>
      <c r="CK82" s="242"/>
      <c r="CL82" s="72"/>
      <c r="CM82" s="70">
        <f t="shared" si="34"/>
        <v>0</v>
      </c>
      <c r="DF82" s="70">
        <f t="shared" si="35"/>
        <v>0</v>
      </c>
      <c r="DG82" s="267" t="e">
        <f t="shared" ref="DG82" si="41">DF82/DF83</f>
        <v>#DIV/0!</v>
      </c>
    </row>
    <row r="83" spans="1:118" ht="42" hidden="1" customHeight="1" x14ac:dyDescent="0.2">
      <c r="A83" s="195"/>
      <c r="B83" s="69" t="s">
        <v>129</v>
      </c>
      <c r="C83" s="70">
        <v>0</v>
      </c>
      <c r="D83" s="249"/>
      <c r="E83" s="71"/>
      <c r="F83" s="70">
        <v>0</v>
      </c>
      <c r="G83" s="249"/>
      <c r="H83" s="71"/>
      <c r="I83" s="70">
        <v>0</v>
      </c>
      <c r="J83" s="249"/>
      <c r="K83" s="71"/>
      <c r="L83" s="70">
        <v>0</v>
      </c>
      <c r="M83" s="249"/>
      <c r="N83" s="243"/>
      <c r="O83" s="70">
        <v>0</v>
      </c>
      <c r="P83" s="249"/>
      <c r="Q83" s="243"/>
      <c r="R83" s="70">
        <v>0</v>
      </c>
      <c r="S83" s="249"/>
      <c r="T83" s="243"/>
      <c r="U83" s="70">
        <v>0</v>
      </c>
      <c r="V83" s="249"/>
      <c r="W83" s="243"/>
      <c r="X83" s="70">
        <v>0</v>
      </c>
      <c r="Y83" s="249"/>
      <c r="Z83" s="243"/>
      <c r="AA83" s="70">
        <v>0</v>
      </c>
      <c r="AB83" s="249"/>
      <c r="AC83" s="243"/>
      <c r="AD83" s="70">
        <v>0</v>
      </c>
      <c r="AE83" s="249"/>
      <c r="AF83" s="243"/>
      <c r="AG83" s="70">
        <v>0</v>
      </c>
      <c r="AH83" s="249"/>
      <c r="AI83" s="243"/>
      <c r="AJ83" s="70">
        <v>0</v>
      </c>
      <c r="AK83" s="249"/>
      <c r="AL83" s="243"/>
      <c r="AM83" s="70" t="s">
        <v>47</v>
      </c>
      <c r="AN83" s="249"/>
      <c r="AO83" s="243"/>
      <c r="AP83" s="70" t="s">
        <v>47</v>
      </c>
      <c r="AQ83" s="249"/>
      <c r="AR83" s="243"/>
      <c r="AS83" s="70" t="s">
        <v>47</v>
      </c>
      <c r="AT83" s="249"/>
      <c r="AU83" s="243"/>
      <c r="AV83" s="70" t="s">
        <v>47</v>
      </c>
      <c r="AW83" s="249"/>
      <c r="AX83" s="243"/>
      <c r="AY83" s="70" t="s">
        <v>47</v>
      </c>
      <c r="AZ83" s="249"/>
      <c r="BA83" s="243"/>
      <c r="BB83" s="70" t="s">
        <v>47</v>
      </c>
      <c r="BC83" s="249"/>
      <c r="BD83" s="243"/>
      <c r="BE83" s="70"/>
      <c r="BF83" s="249"/>
      <c r="BG83" s="243"/>
      <c r="BH83" s="70"/>
      <c r="BI83" s="249"/>
      <c r="BJ83" s="243"/>
      <c r="BK83" s="70"/>
      <c r="BL83" s="249"/>
      <c r="BM83" s="243"/>
      <c r="BN83" s="70"/>
      <c r="BO83" s="249"/>
      <c r="BP83" s="243"/>
      <c r="BQ83" s="70"/>
      <c r="BR83" s="249"/>
      <c r="BS83" s="243"/>
      <c r="BT83" s="70" t="e">
        <f t="shared" si="33"/>
        <v>#VALUE!</v>
      </c>
      <c r="BU83" s="70"/>
      <c r="BV83" s="243"/>
      <c r="BW83" s="72"/>
      <c r="BX83" s="70"/>
      <c r="BY83" s="243"/>
      <c r="BZ83" s="72"/>
      <c r="CA83" s="70"/>
      <c r="CB83" s="243"/>
      <c r="CC83" s="72"/>
      <c r="CD83" s="70"/>
      <c r="CE83" s="243"/>
      <c r="CF83" s="72"/>
      <c r="CG83" s="70"/>
      <c r="CH83" s="243"/>
      <c r="CI83" s="72"/>
      <c r="CJ83" s="70"/>
      <c r="CK83" s="243"/>
      <c r="CL83" s="72"/>
      <c r="CM83" s="70">
        <f t="shared" si="34"/>
        <v>0</v>
      </c>
      <c r="DF83" s="70">
        <f t="shared" si="35"/>
        <v>0</v>
      </c>
      <c r="DG83" s="268"/>
    </row>
    <row r="84" spans="1:118" ht="70.5" hidden="1" customHeight="1" x14ac:dyDescent="0.2">
      <c r="A84" s="195" t="s">
        <v>130</v>
      </c>
      <c r="B84" s="69" t="s">
        <v>131</v>
      </c>
      <c r="C84" s="70">
        <v>0</v>
      </c>
      <c r="D84" s="248">
        <v>0</v>
      </c>
      <c r="E84" s="71"/>
      <c r="F84" s="70">
        <v>0</v>
      </c>
      <c r="G84" s="248" t="s">
        <v>47</v>
      </c>
      <c r="H84" s="71"/>
      <c r="I84" s="70">
        <v>0</v>
      </c>
      <c r="J84" s="248" t="s">
        <v>47</v>
      </c>
      <c r="K84" s="71"/>
      <c r="L84" s="70">
        <v>0</v>
      </c>
      <c r="M84" s="248" t="s">
        <v>47</v>
      </c>
      <c r="N84" s="242"/>
      <c r="O84" s="70">
        <v>0</v>
      </c>
      <c r="P84" s="248" t="s">
        <v>47</v>
      </c>
      <c r="Q84" s="242"/>
      <c r="R84" s="70">
        <v>0</v>
      </c>
      <c r="S84" s="248" t="s">
        <v>47</v>
      </c>
      <c r="T84" s="242"/>
      <c r="U84" s="70">
        <v>0</v>
      </c>
      <c r="V84" s="248" t="s">
        <v>47</v>
      </c>
      <c r="W84" s="242"/>
      <c r="X84" s="70">
        <v>0</v>
      </c>
      <c r="Y84" s="248" t="s">
        <v>47</v>
      </c>
      <c r="Z84" s="242"/>
      <c r="AA84" s="70">
        <v>0</v>
      </c>
      <c r="AB84" s="248" t="s">
        <v>47</v>
      </c>
      <c r="AC84" s="242"/>
      <c r="AD84" s="70">
        <v>0</v>
      </c>
      <c r="AE84" s="248" t="s">
        <v>47</v>
      </c>
      <c r="AF84" s="242"/>
      <c r="AG84" s="70">
        <v>0</v>
      </c>
      <c r="AH84" s="248" t="s">
        <v>47</v>
      </c>
      <c r="AI84" s="242"/>
      <c r="AJ84" s="70">
        <v>0</v>
      </c>
      <c r="AK84" s="248" t="s">
        <v>47</v>
      </c>
      <c r="AL84" s="242"/>
      <c r="AM84" s="70" t="s">
        <v>47</v>
      </c>
      <c r="AN84" s="248" t="s">
        <v>47</v>
      </c>
      <c r="AO84" s="242"/>
      <c r="AP84" s="70" t="s">
        <v>47</v>
      </c>
      <c r="AQ84" s="248" t="s">
        <v>47</v>
      </c>
      <c r="AR84" s="242"/>
      <c r="AS84" s="70" t="s">
        <v>47</v>
      </c>
      <c r="AT84" s="248" t="s">
        <v>47</v>
      </c>
      <c r="AU84" s="242"/>
      <c r="AV84" s="70" t="s">
        <v>47</v>
      </c>
      <c r="AW84" s="248" t="s">
        <v>47</v>
      </c>
      <c r="AX84" s="242"/>
      <c r="AY84" s="70" t="s">
        <v>47</v>
      </c>
      <c r="AZ84" s="248" t="s">
        <v>47</v>
      </c>
      <c r="BA84" s="242"/>
      <c r="BB84" s="70" t="s">
        <v>47</v>
      </c>
      <c r="BC84" s="248" t="s">
        <v>47</v>
      </c>
      <c r="BD84" s="242"/>
      <c r="BE84" s="70"/>
      <c r="BF84" s="248" t="s">
        <v>47</v>
      </c>
      <c r="BG84" s="242"/>
      <c r="BH84" s="70"/>
      <c r="BI84" s="248" t="s">
        <v>47</v>
      </c>
      <c r="BJ84" s="242"/>
      <c r="BK84" s="70"/>
      <c r="BL84" s="248" t="s">
        <v>47</v>
      </c>
      <c r="BM84" s="242"/>
      <c r="BN84" s="70"/>
      <c r="BO84" s="248" t="s">
        <v>47</v>
      </c>
      <c r="BP84" s="242"/>
      <c r="BQ84" s="70"/>
      <c r="BR84" s="248" t="s">
        <v>47</v>
      </c>
      <c r="BS84" s="242"/>
      <c r="BT84" s="70" t="e">
        <f t="shared" si="33"/>
        <v>#VALUE!</v>
      </c>
      <c r="BU84" s="70"/>
      <c r="BV84" s="242"/>
      <c r="BW84" s="72"/>
      <c r="BX84" s="70"/>
      <c r="BY84" s="242"/>
      <c r="BZ84" s="72"/>
      <c r="CA84" s="70"/>
      <c r="CB84" s="242"/>
      <c r="CC84" s="72"/>
      <c r="CD84" s="70"/>
      <c r="CE84" s="242"/>
      <c r="CF84" s="72"/>
      <c r="CG84" s="70"/>
      <c r="CH84" s="242"/>
      <c r="CI84" s="72"/>
      <c r="CJ84" s="70"/>
      <c r="CK84" s="242"/>
      <c r="CL84" s="72"/>
      <c r="CM84" s="70">
        <f t="shared" si="34"/>
        <v>0</v>
      </c>
      <c r="DF84" s="70">
        <f t="shared" si="35"/>
        <v>0</v>
      </c>
      <c r="DG84" s="267" t="e">
        <f t="shared" ref="DG84" si="42">DF84/DF85</f>
        <v>#DIV/0!</v>
      </c>
    </row>
    <row r="85" spans="1:118" ht="42" hidden="1" customHeight="1" x14ac:dyDescent="0.2">
      <c r="A85" s="195"/>
      <c r="B85" s="69" t="s">
        <v>132</v>
      </c>
      <c r="C85" s="70">
        <v>0</v>
      </c>
      <c r="D85" s="249"/>
      <c r="E85" s="71"/>
      <c r="F85" s="70">
        <v>0</v>
      </c>
      <c r="G85" s="249"/>
      <c r="H85" s="71"/>
      <c r="I85" s="70">
        <v>0</v>
      </c>
      <c r="J85" s="249"/>
      <c r="K85" s="71"/>
      <c r="L85" s="70">
        <v>0</v>
      </c>
      <c r="M85" s="249"/>
      <c r="N85" s="243"/>
      <c r="O85" s="70">
        <v>0</v>
      </c>
      <c r="P85" s="249"/>
      <c r="Q85" s="243"/>
      <c r="R85" s="70">
        <v>0</v>
      </c>
      <c r="S85" s="249"/>
      <c r="T85" s="243"/>
      <c r="U85" s="70">
        <v>0</v>
      </c>
      <c r="V85" s="249"/>
      <c r="W85" s="243"/>
      <c r="X85" s="70">
        <v>0</v>
      </c>
      <c r="Y85" s="249"/>
      <c r="Z85" s="243"/>
      <c r="AA85" s="70">
        <v>0</v>
      </c>
      <c r="AB85" s="249"/>
      <c r="AC85" s="243"/>
      <c r="AD85" s="70">
        <v>0</v>
      </c>
      <c r="AE85" s="249"/>
      <c r="AF85" s="243"/>
      <c r="AG85" s="70">
        <v>0</v>
      </c>
      <c r="AH85" s="249"/>
      <c r="AI85" s="243"/>
      <c r="AJ85" s="70">
        <v>0</v>
      </c>
      <c r="AK85" s="249"/>
      <c r="AL85" s="243"/>
      <c r="AM85" s="70" t="s">
        <v>47</v>
      </c>
      <c r="AN85" s="249"/>
      <c r="AO85" s="243"/>
      <c r="AP85" s="70" t="s">
        <v>47</v>
      </c>
      <c r="AQ85" s="249"/>
      <c r="AR85" s="243"/>
      <c r="AS85" s="70" t="s">
        <v>47</v>
      </c>
      <c r="AT85" s="249"/>
      <c r="AU85" s="243"/>
      <c r="AV85" s="70" t="s">
        <v>47</v>
      </c>
      <c r="AW85" s="249"/>
      <c r="AX85" s="243"/>
      <c r="AY85" s="70" t="s">
        <v>47</v>
      </c>
      <c r="AZ85" s="249"/>
      <c r="BA85" s="243"/>
      <c r="BB85" s="70" t="s">
        <v>47</v>
      </c>
      <c r="BC85" s="249"/>
      <c r="BD85" s="243"/>
      <c r="BE85" s="70"/>
      <c r="BF85" s="249"/>
      <c r="BG85" s="243"/>
      <c r="BH85" s="70"/>
      <c r="BI85" s="249"/>
      <c r="BJ85" s="243"/>
      <c r="BK85" s="70"/>
      <c r="BL85" s="249"/>
      <c r="BM85" s="243"/>
      <c r="BN85" s="70"/>
      <c r="BO85" s="249"/>
      <c r="BP85" s="243"/>
      <c r="BQ85" s="70"/>
      <c r="BR85" s="249"/>
      <c r="BS85" s="243"/>
      <c r="BT85" s="70" t="e">
        <f t="shared" si="33"/>
        <v>#VALUE!</v>
      </c>
      <c r="BU85" s="70"/>
      <c r="BV85" s="243"/>
      <c r="BW85" s="72"/>
      <c r="BX85" s="70"/>
      <c r="BY85" s="243"/>
      <c r="BZ85" s="72"/>
      <c r="CA85" s="70"/>
      <c r="CB85" s="243"/>
      <c r="CC85" s="72"/>
      <c r="CD85" s="70"/>
      <c r="CE85" s="243"/>
      <c r="CF85" s="72"/>
      <c r="CG85" s="70"/>
      <c r="CH85" s="243"/>
      <c r="CI85" s="72"/>
      <c r="CJ85" s="70"/>
      <c r="CK85" s="243"/>
      <c r="CL85" s="72"/>
      <c r="CM85" s="70">
        <f t="shared" si="34"/>
        <v>0</v>
      </c>
      <c r="DF85" s="70">
        <f t="shared" si="35"/>
        <v>0</v>
      </c>
      <c r="DG85" s="268"/>
    </row>
    <row r="86" spans="1:118" ht="96.75" customHeight="1" x14ac:dyDescent="0.2">
      <c r="A86" s="195" t="s">
        <v>133</v>
      </c>
      <c r="B86" s="69" t="s">
        <v>134</v>
      </c>
      <c r="C86" s="70">
        <v>42520.800000000003</v>
      </c>
      <c r="D86" s="248">
        <f>+C86/C87</f>
        <v>11.768183327798074</v>
      </c>
      <c r="E86" s="71"/>
      <c r="F86" s="70">
        <v>3062</v>
      </c>
      <c r="G86" s="248">
        <f>+F86/F87</f>
        <v>10.072368421052632</v>
      </c>
      <c r="H86" s="71"/>
      <c r="I86" s="70">
        <v>11353</v>
      </c>
      <c r="J86" s="248">
        <f>+I86/I87</f>
        <v>28.453634085213032</v>
      </c>
      <c r="K86" s="71"/>
      <c r="L86" s="70">
        <v>8297</v>
      </c>
      <c r="M86" s="248">
        <f>+L86/L87</f>
        <v>22.007957559681696</v>
      </c>
      <c r="N86" s="242"/>
      <c r="O86" s="70">
        <v>4450</v>
      </c>
      <c r="P86" s="248">
        <f>+O86/O87</f>
        <v>12.936046511627907</v>
      </c>
      <c r="Q86" s="242"/>
      <c r="R86" s="70">
        <v>2846</v>
      </c>
      <c r="S86" s="248">
        <f>+R86/R87</f>
        <v>10.699248120300751</v>
      </c>
      <c r="T86" s="242"/>
      <c r="U86" s="70">
        <v>5062</v>
      </c>
      <c r="V86" s="248">
        <f>+U86/U87</f>
        <v>15.020771513353116</v>
      </c>
      <c r="W86" s="242"/>
      <c r="X86" s="70">
        <v>7500</v>
      </c>
      <c r="Y86" s="248">
        <f>+X86/X87</f>
        <v>27.075812274368232</v>
      </c>
      <c r="Z86" s="242"/>
      <c r="AA86" s="70">
        <v>7938</v>
      </c>
      <c r="AB86" s="248">
        <f>+AA86/AA87</f>
        <v>28.970802919708028</v>
      </c>
      <c r="AC86" s="242"/>
      <c r="AD86" s="70">
        <v>9135</v>
      </c>
      <c r="AE86" s="248">
        <f>+AD86/AD87</f>
        <v>33.584558823529413</v>
      </c>
      <c r="AF86" s="242"/>
      <c r="AG86" s="70">
        <v>11611</v>
      </c>
      <c r="AH86" s="248">
        <f>+AG86/AG87</f>
        <v>31.296495956873315</v>
      </c>
      <c r="AI86" s="242"/>
      <c r="AJ86" s="70">
        <v>14197</v>
      </c>
      <c r="AK86" s="248">
        <f>+AJ86/AJ87</f>
        <v>39.218232044198892</v>
      </c>
      <c r="AL86" s="242"/>
      <c r="AM86" s="70">
        <v>15476</v>
      </c>
      <c r="AN86" s="248">
        <f>+AM86/AM87</f>
        <v>49.444089456869008</v>
      </c>
      <c r="AO86" s="242"/>
      <c r="AP86" s="70">
        <v>15245</v>
      </c>
      <c r="AQ86" s="248">
        <f>+AP86/AP87</f>
        <v>49.177419354838712</v>
      </c>
      <c r="AR86" s="242"/>
      <c r="AS86" s="70">
        <v>15699</v>
      </c>
      <c r="AT86" s="248">
        <f>+AS86/AS87</f>
        <v>43.974789915966383</v>
      </c>
      <c r="AU86" s="242"/>
      <c r="AV86" s="70">
        <v>14497</v>
      </c>
      <c r="AW86" s="248">
        <f>+AV86/AV87</f>
        <v>54.5</v>
      </c>
      <c r="AX86" s="242"/>
      <c r="AY86" s="70">
        <v>12088</v>
      </c>
      <c r="AZ86" s="248">
        <f>+AY86/AY87</f>
        <v>62.632124352331608</v>
      </c>
      <c r="BA86" s="242"/>
      <c r="BB86" s="70">
        <v>1876</v>
      </c>
      <c r="BC86" s="248">
        <f>+BB86/BB87</f>
        <v>6.2119205298013247</v>
      </c>
      <c r="BD86" s="242"/>
      <c r="BE86" s="70">
        <v>2465</v>
      </c>
      <c r="BF86" s="248">
        <f>+BE86/BE87</f>
        <v>8.1622516556291398</v>
      </c>
      <c r="BG86" s="242"/>
      <c r="BH86" s="70">
        <v>3632</v>
      </c>
      <c r="BI86" s="248">
        <f>+BH86/BH87</f>
        <v>13.809885931558936</v>
      </c>
      <c r="BJ86" s="242"/>
      <c r="BK86" s="70">
        <v>6319</v>
      </c>
      <c r="BL86" s="248">
        <f>+BK86/BK87</f>
        <v>21.347972972972972</v>
      </c>
      <c r="BM86" s="242"/>
      <c r="BN86" s="70">
        <v>6253</v>
      </c>
      <c r="BO86" s="248">
        <f>+BN86/BN87</f>
        <v>14.923627684964201</v>
      </c>
      <c r="BP86" s="242"/>
      <c r="BQ86" s="70">
        <v>3974</v>
      </c>
      <c r="BR86" s="248">
        <f>+BQ86/BQ87</f>
        <v>13.029508196721311</v>
      </c>
      <c r="BS86" s="242"/>
      <c r="BT86" s="70">
        <f t="shared" si="33"/>
        <v>24519</v>
      </c>
      <c r="BU86" s="70">
        <v>6978</v>
      </c>
      <c r="BV86" s="230">
        <f>BU86/BU87</f>
        <v>16.89588377723971</v>
      </c>
      <c r="BW86" s="198" t="s">
        <v>246</v>
      </c>
      <c r="BX86" s="70">
        <v>7977</v>
      </c>
      <c r="BY86" s="230">
        <f>BX86/BX87</f>
        <v>17.885650224215247</v>
      </c>
      <c r="BZ86" s="198" t="s">
        <v>246</v>
      </c>
      <c r="CA86" s="70">
        <v>5913</v>
      </c>
      <c r="CB86" s="230">
        <f>CA86/CA87</f>
        <v>14.351941747572816</v>
      </c>
      <c r="CC86" s="198" t="s">
        <v>246</v>
      </c>
      <c r="CD86" s="70">
        <v>7647</v>
      </c>
      <c r="CE86" s="230">
        <f>CD86/CD87</f>
        <v>16.516198704103672</v>
      </c>
      <c r="CF86" s="198" t="s">
        <v>246</v>
      </c>
      <c r="CG86" s="70">
        <v>6401</v>
      </c>
      <c r="CH86" s="230">
        <f>CG86/CG87</f>
        <v>17.633608815426996</v>
      </c>
      <c r="CI86" s="198" t="s">
        <v>310</v>
      </c>
      <c r="CJ86" s="70">
        <v>2659</v>
      </c>
      <c r="CK86" s="230">
        <f>CJ86/CJ87</f>
        <v>12.031674208144796</v>
      </c>
      <c r="CL86" s="198" t="s">
        <v>310</v>
      </c>
      <c r="CM86" s="70">
        <f t="shared" si="34"/>
        <v>37575</v>
      </c>
      <c r="CN86" s="70">
        <v>872</v>
      </c>
      <c r="CO86" s="230">
        <f>CN86/CN87</f>
        <v>7.2666666666666666</v>
      </c>
      <c r="CP86" s="232" t="s">
        <v>354</v>
      </c>
      <c r="CQ86" s="70">
        <v>1382</v>
      </c>
      <c r="CR86" s="230">
        <f>CQ86/CQ87</f>
        <v>5.9059829059829063</v>
      </c>
      <c r="CS86" s="232" t="s">
        <v>358</v>
      </c>
      <c r="CT86" s="70">
        <v>6531</v>
      </c>
      <c r="CU86" s="230">
        <f>CT86/CT87</f>
        <v>14.197826086956521</v>
      </c>
      <c r="CV86" s="232" t="s">
        <v>393</v>
      </c>
      <c r="CW86" s="70">
        <v>7485</v>
      </c>
      <c r="CX86" s="230">
        <f>CW86/CW87</f>
        <v>16.131465517241381</v>
      </c>
      <c r="CY86" s="232" t="s">
        <v>434</v>
      </c>
      <c r="CZ86" s="70">
        <v>9141</v>
      </c>
      <c r="DA86" s="230">
        <f>CZ86/CZ87</f>
        <v>17.646718146718147</v>
      </c>
      <c r="DB86" s="232" t="s">
        <v>434</v>
      </c>
      <c r="DC86" s="70">
        <v>10355</v>
      </c>
      <c r="DD86" s="230">
        <f>DC86/DC87</f>
        <v>22.909292035398231</v>
      </c>
      <c r="DF86" s="70">
        <f t="shared" si="35"/>
        <v>35766</v>
      </c>
      <c r="DG86" s="267">
        <f t="shared" ref="DG86" si="43">DF86/DF87</f>
        <v>15.910142348754448</v>
      </c>
      <c r="DH86" s="70">
        <v>10355</v>
      </c>
      <c r="DI86" s="230">
        <f>DH86/DH87</f>
        <v>22.909292035398231</v>
      </c>
      <c r="DK86" s="103">
        <v>14877</v>
      </c>
      <c r="DL86" s="230">
        <f>DK86/DK87</f>
        <v>32.341304347826089</v>
      </c>
      <c r="DM86" s="108">
        <v>10798</v>
      </c>
      <c r="DN86" s="230">
        <f>DM86/DM87</f>
        <v>21.131115459882583</v>
      </c>
    </row>
    <row r="87" spans="1:118" ht="56.25" customHeight="1" x14ac:dyDescent="0.2">
      <c r="A87" s="195"/>
      <c r="B87" s="69" t="s">
        <v>135</v>
      </c>
      <c r="C87" s="70">
        <v>3613.2000000000003</v>
      </c>
      <c r="D87" s="249"/>
      <c r="E87" s="71"/>
      <c r="F87" s="70">
        <v>304</v>
      </c>
      <c r="G87" s="249"/>
      <c r="H87" s="71"/>
      <c r="I87" s="70">
        <v>399</v>
      </c>
      <c r="J87" s="249"/>
      <c r="K87" s="71"/>
      <c r="L87" s="70">
        <v>377</v>
      </c>
      <c r="M87" s="249"/>
      <c r="N87" s="243"/>
      <c r="O87" s="70">
        <v>344</v>
      </c>
      <c r="P87" s="249"/>
      <c r="Q87" s="243"/>
      <c r="R87" s="70">
        <v>266</v>
      </c>
      <c r="S87" s="249"/>
      <c r="T87" s="243"/>
      <c r="U87" s="70">
        <v>337</v>
      </c>
      <c r="V87" s="249"/>
      <c r="W87" s="243"/>
      <c r="X87" s="70">
        <v>277</v>
      </c>
      <c r="Y87" s="249"/>
      <c r="Z87" s="243"/>
      <c r="AA87" s="70">
        <v>274</v>
      </c>
      <c r="AB87" s="249"/>
      <c r="AC87" s="243"/>
      <c r="AD87" s="70">
        <v>272</v>
      </c>
      <c r="AE87" s="249"/>
      <c r="AF87" s="243"/>
      <c r="AG87" s="70">
        <v>371</v>
      </c>
      <c r="AH87" s="249"/>
      <c r="AI87" s="243"/>
      <c r="AJ87" s="70">
        <v>362</v>
      </c>
      <c r="AK87" s="249"/>
      <c r="AL87" s="243"/>
      <c r="AM87" s="70">
        <v>313</v>
      </c>
      <c r="AN87" s="249"/>
      <c r="AO87" s="243"/>
      <c r="AP87" s="70">
        <v>310</v>
      </c>
      <c r="AQ87" s="249"/>
      <c r="AR87" s="243"/>
      <c r="AS87" s="70">
        <v>357</v>
      </c>
      <c r="AT87" s="249"/>
      <c r="AU87" s="243"/>
      <c r="AV87" s="70">
        <v>266</v>
      </c>
      <c r="AW87" s="249"/>
      <c r="AX87" s="243"/>
      <c r="AY87" s="70">
        <v>193</v>
      </c>
      <c r="AZ87" s="249"/>
      <c r="BA87" s="243"/>
      <c r="BB87" s="70">
        <v>302</v>
      </c>
      <c r="BC87" s="249"/>
      <c r="BD87" s="243"/>
      <c r="BE87" s="70">
        <v>302</v>
      </c>
      <c r="BF87" s="249"/>
      <c r="BG87" s="243"/>
      <c r="BH87" s="70">
        <v>263</v>
      </c>
      <c r="BI87" s="249"/>
      <c r="BJ87" s="243"/>
      <c r="BK87" s="70">
        <v>296</v>
      </c>
      <c r="BL87" s="249"/>
      <c r="BM87" s="243"/>
      <c r="BN87" s="70">
        <v>419</v>
      </c>
      <c r="BO87" s="249"/>
      <c r="BP87" s="243"/>
      <c r="BQ87" s="70">
        <v>305</v>
      </c>
      <c r="BR87" s="249"/>
      <c r="BS87" s="243"/>
      <c r="BT87" s="70">
        <f t="shared" si="33"/>
        <v>1887</v>
      </c>
      <c r="BU87" s="70">
        <v>413</v>
      </c>
      <c r="BV87" s="231"/>
      <c r="BW87" s="199"/>
      <c r="BX87" s="70">
        <v>446</v>
      </c>
      <c r="BY87" s="231"/>
      <c r="BZ87" s="199"/>
      <c r="CA87" s="70">
        <v>412</v>
      </c>
      <c r="CB87" s="231"/>
      <c r="CC87" s="199"/>
      <c r="CD87" s="70">
        <v>463</v>
      </c>
      <c r="CE87" s="231"/>
      <c r="CF87" s="199"/>
      <c r="CG87" s="70">
        <v>363</v>
      </c>
      <c r="CH87" s="231"/>
      <c r="CI87" s="199"/>
      <c r="CJ87" s="70">
        <v>221</v>
      </c>
      <c r="CK87" s="231"/>
      <c r="CL87" s="199"/>
      <c r="CM87" s="70">
        <f t="shared" si="34"/>
        <v>2318</v>
      </c>
      <c r="CN87" s="70">
        <v>120</v>
      </c>
      <c r="CO87" s="231"/>
      <c r="CP87" s="232"/>
      <c r="CQ87" s="70">
        <v>234</v>
      </c>
      <c r="CR87" s="231"/>
      <c r="CS87" s="232"/>
      <c r="CT87" s="70">
        <v>460</v>
      </c>
      <c r="CU87" s="231"/>
      <c r="CV87" s="232"/>
      <c r="CW87" s="70">
        <v>464</v>
      </c>
      <c r="CX87" s="231"/>
      <c r="CY87" s="232"/>
      <c r="CZ87" s="70">
        <v>518</v>
      </c>
      <c r="DA87" s="231"/>
      <c r="DB87" s="232"/>
      <c r="DC87" s="70">
        <v>452</v>
      </c>
      <c r="DD87" s="231"/>
      <c r="DF87" s="70">
        <f t="shared" si="35"/>
        <v>2248</v>
      </c>
      <c r="DG87" s="268"/>
      <c r="DH87" s="70">
        <v>452</v>
      </c>
      <c r="DI87" s="231"/>
      <c r="DK87" s="103">
        <v>460</v>
      </c>
      <c r="DL87" s="231"/>
      <c r="DM87" s="108">
        <v>511</v>
      </c>
      <c r="DN87" s="231"/>
    </row>
    <row r="88" spans="1:118" ht="74.25" customHeight="1" x14ac:dyDescent="0.2">
      <c r="A88" s="195" t="s">
        <v>136</v>
      </c>
      <c r="B88" s="69" t="s">
        <v>137</v>
      </c>
      <c r="C88" s="70">
        <v>8035.2000000000007</v>
      </c>
      <c r="D88" s="248">
        <f>+C88/C89</f>
        <v>7.0484210526315794</v>
      </c>
      <c r="E88" s="71"/>
      <c r="F88" s="70">
        <v>811</v>
      </c>
      <c r="G88" s="248">
        <f>+F88/F89</f>
        <v>5.6713286713286717</v>
      </c>
      <c r="H88" s="71"/>
      <c r="I88" s="70">
        <v>5393</v>
      </c>
      <c r="J88" s="248">
        <f>+I88/I89</f>
        <v>40.856060606060609</v>
      </c>
      <c r="K88" s="71"/>
      <c r="L88" s="70">
        <v>3858</v>
      </c>
      <c r="M88" s="248">
        <f>+L88/L89</f>
        <v>31.622950819672131</v>
      </c>
      <c r="N88" s="242"/>
      <c r="O88" s="70">
        <v>1129</v>
      </c>
      <c r="P88" s="248">
        <f>+O88/O89</f>
        <v>13.127906976744185</v>
      </c>
      <c r="Q88" s="242"/>
      <c r="R88" s="70">
        <v>308</v>
      </c>
      <c r="S88" s="248">
        <f>+R88/R89</f>
        <v>5.1333333333333337</v>
      </c>
      <c r="T88" s="242"/>
      <c r="U88" s="70">
        <v>498</v>
      </c>
      <c r="V88" s="248">
        <f>+U88/U89</f>
        <v>5.6590909090909092</v>
      </c>
      <c r="W88" s="242"/>
      <c r="X88" s="70">
        <v>548</v>
      </c>
      <c r="Y88" s="248">
        <f>+X88/X89</f>
        <v>8.8387096774193541</v>
      </c>
      <c r="Z88" s="242"/>
      <c r="AA88" s="70">
        <v>410</v>
      </c>
      <c r="AB88" s="248">
        <f>+AA88/AA89</f>
        <v>9.3181818181818183</v>
      </c>
      <c r="AC88" s="242"/>
      <c r="AD88" s="70">
        <v>581</v>
      </c>
      <c r="AE88" s="248">
        <f>+AD88/AD89</f>
        <v>7.5454545454545459</v>
      </c>
      <c r="AF88" s="242"/>
      <c r="AG88" s="70">
        <v>526</v>
      </c>
      <c r="AH88" s="248">
        <f>+AG88/AG89</f>
        <v>7.9696969696969697</v>
      </c>
      <c r="AI88" s="242"/>
      <c r="AJ88" s="70">
        <v>687</v>
      </c>
      <c r="AK88" s="248">
        <f>+AJ88/AJ89</f>
        <v>11.45</v>
      </c>
      <c r="AL88" s="242"/>
      <c r="AM88" s="70">
        <v>729</v>
      </c>
      <c r="AN88" s="248">
        <f>+AM88/AM89</f>
        <v>8.0109890109890109</v>
      </c>
      <c r="AO88" s="242"/>
      <c r="AP88" s="70">
        <v>680</v>
      </c>
      <c r="AQ88" s="248">
        <f>+AP88/AP89</f>
        <v>11.525423728813559</v>
      </c>
      <c r="AR88" s="242"/>
      <c r="AS88" s="70">
        <v>557</v>
      </c>
      <c r="AT88" s="248">
        <f>+AS88/AS89</f>
        <v>10.127272727272727</v>
      </c>
      <c r="AU88" s="242"/>
      <c r="AV88" s="70">
        <v>474</v>
      </c>
      <c r="AW88" s="248">
        <f>+AV88/AV89</f>
        <v>9.6734693877551017</v>
      </c>
      <c r="AX88" s="242"/>
      <c r="AY88" s="70">
        <v>281</v>
      </c>
      <c r="AZ88" s="248">
        <f>+AY88/AY89</f>
        <v>6.2444444444444445</v>
      </c>
      <c r="BA88" s="242"/>
      <c r="BB88" s="70">
        <v>466</v>
      </c>
      <c r="BC88" s="248">
        <f>+BB88/BB89</f>
        <v>5.5476190476190474</v>
      </c>
      <c r="BD88" s="242"/>
      <c r="BE88" s="70">
        <v>829</v>
      </c>
      <c r="BF88" s="248">
        <f>+BE88/BE89</f>
        <v>5.6013513513513518</v>
      </c>
      <c r="BG88" s="242"/>
      <c r="BH88" s="70">
        <v>1393</v>
      </c>
      <c r="BI88" s="248">
        <f>+BH88/BH89</f>
        <v>11.325203252032521</v>
      </c>
      <c r="BJ88" s="242"/>
      <c r="BK88" s="70">
        <v>1269</v>
      </c>
      <c r="BL88" s="248">
        <f>+BK88/BK89</f>
        <v>10.233870967741936</v>
      </c>
      <c r="BM88" s="242"/>
      <c r="BN88" s="70">
        <v>2365</v>
      </c>
      <c r="BO88" s="248">
        <f>+BN88/BN89</f>
        <v>24.635416666666668</v>
      </c>
      <c r="BP88" s="242"/>
      <c r="BQ88" s="70">
        <v>1257</v>
      </c>
      <c r="BR88" s="248">
        <f>+BQ88/BQ89</f>
        <v>17.458333333333332</v>
      </c>
      <c r="BS88" s="242"/>
      <c r="BT88" s="70">
        <f t="shared" si="33"/>
        <v>7579</v>
      </c>
      <c r="BU88" s="70">
        <v>231</v>
      </c>
      <c r="BV88" s="230">
        <f>BU88/BU89</f>
        <v>4.9148936170212769</v>
      </c>
      <c r="BW88" s="198" t="s">
        <v>246</v>
      </c>
      <c r="BX88" s="70">
        <v>222</v>
      </c>
      <c r="BY88" s="230">
        <f>BX88/BX89</f>
        <v>4.8260869565217392</v>
      </c>
      <c r="BZ88" s="198" t="s">
        <v>246</v>
      </c>
      <c r="CA88" s="70">
        <v>607</v>
      </c>
      <c r="CB88" s="230">
        <f>CA88/CA89</f>
        <v>5.0165289256198351</v>
      </c>
      <c r="CC88" s="198" t="s">
        <v>246</v>
      </c>
      <c r="CD88" s="70">
        <v>1417</v>
      </c>
      <c r="CE88" s="230">
        <f>CD88/CD89</f>
        <v>9.8402777777777786</v>
      </c>
      <c r="CF88" s="198" t="s">
        <v>281</v>
      </c>
      <c r="CG88" s="70">
        <v>1492</v>
      </c>
      <c r="CH88" s="230">
        <f>CG88/CG89</f>
        <v>13.814814814814815</v>
      </c>
      <c r="CI88" s="198" t="s">
        <v>309</v>
      </c>
      <c r="CJ88" s="70">
        <v>1284</v>
      </c>
      <c r="CK88" s="230">
        <f>CJ88/CJ89</f>
        <v>16.894736842105264</v>
      </c>
      <c r="CL88" s="198" t="s">
        <v>309</v>
      </c>
      <c r="CM88" s="70">
        <f t="shared" si="34"/>
        <v>5253</v>
      </c>
      <c r="CN88" s="70">
        <v>402</v>
      </c>
      <c r="CO88" s="230">
        <f>CN88/CN89</f>
        <v>19.142857142857142</v>
      </c>
      <c r="CP88" s="232" t="s">
        <v>355</v>
      </c>
      <c r="CQ88" s="70">
        <v>498</v>
      </c>
      <c r="CR88" s="230">
        <f>CQ88/CQ89</f>
        <v>6.64</v>
      </c>
      <c r="CS88" s="232" t="s">
        <v>359</v>
      </c>
      <c r="CT88" s="70">
        <v>1815</v>
      </c>
      <c r="CU88" s="230">
        <f>CT88/CT89</f>
        <v>15.782608695652174</v>
      </c>
      <c r="CV88" s="232" t="s">
        <v>394</v>
      </c>
      <c r="CW88" s="70">
        <v>764</v>
      </c>
      <c r="CX88" s="230">
        <f>CW88/CW89</f>
        <v>9.432098765432098</v>
      </c>
      <c r="CY88" s="232" t="s">
        <v>435</v>
      </c>
      <c r="CZ88" s="70">
        <v>407</v>
      </c>
      <c r="DA88" s="230">
        <f>CZ88/CZ89</f>
        <v>7.2678571428571432</v>
      </c>
      <c r="DB88" s="232" t="s">
        <v>462</v>
      </c>
      <c r="DC88" s="70">
        <v>279</v>
      </c>
      <c r="DD88" s="230">
        <f>DC88/DC89</f>
        <v>10.333333333333334</v>
      </c>
      <c r="DF88" s="70">
        <f t="shared" si="35"/>
        <v>4165</v>
      </c>
      <c r="DG88" s="267">
        <f t="shared" ref="DG88" si="44">DF88/DF89</f>
        <v>11.106666666666667</v>
      </c>
      <c r="DH88" s="70">
        <v>279</v>
      </c>
      <c r="DI88" s="230">
        <f>DH88/DH89</f>
        <v>10.333333333333334</v>
      </c>
      <c r="DK88" s="103">
        <v>416</v>
      </c>
      <c r="DL88" s="230">
        <f>DK88/DK89</f>
        <v>10.4</v>
      </c>
      <c r="DM88" s="108">
        <v>209</v>
      </c>
      <c r="DN88" s="230">
        <f>DM88/DM89</f>
        <v>8.0384615384615383</v>
      </c>
    </row>
    <row r="89" spans="1:118" ht="50.25" customHeight="1" x14ac:dyDescent="0.2">
      <c r="A89" s="195"/>
      <c r="B89" s="69" t="s">
        <v>138</v>
      </c>
      <c r="C89" s="70">
        <v>1140</v>
      </c>
      <c r="D89" s="249"/>
      <c r="E89" s="71"/>
      <c r="F89" s="70">
        <v>143</v>
      </c>
      <c r="G89" s="249"/>
      <c r="H89" s="71"/>
      <c r="I89" s="70">
        <v>132</v>
      </c>
      <c r="J89" s="249"/>
      <c r="K89" s="71"/>
      <c r="L89" s="70">
        <v>122</v>
      </c>
      <c r="M89" s="249"/>
      <c r="N89" s="243"/>
      <c r="O89" s="70">
        <v>86</v>
      </c>
      <c r="P89" s="249"/>
      <c r="Q89" s="243"/>
      <c r="R89" s="70">
        <v>60</v>
      </c>
      <c r="S89" s="249"/>
      <c r="T89" s="243"/>
      <c r="U89" s="70">
        <v>88</v>
      </c>
      <c r="V89" s="249"/>
      <c r="W89" s="243"/>
      <c r="X89" s="70">
        <v>62</v>
      </c>
      <c r="Y89" s="249"/>
      <c r="Z89" s="243"/>
      <c r="AA89" s="70">
        <v>44</v>
      </c>
      <c r="AB89" s="249"/>
      <c r="AC89" s="243"/>
      <c r="AD89" s="70">
        <v>77</v>
      </c>
      <c r="AE89" s="249"/>
      <c r="AF89" s="243"/>
      <c r="AG89" s="70">
        <v>66</v>
      </c>
      <c r="AH89" s="249"/>
      <c r="AI89" s="243"/>
      <c r="AJ89" s="70">
        <v>60</v>
      </c>
      <c r="AK89" s="249"/>
      <c r="AL89" s="243"/>
      <c r="AM89" s="70">
        <v>91</v>
      </c>
      <c r="AN89" s="249"/>
      <c r="AO89" s="243"/>
      <c r="AP89" s="70">
        <v>59</v>
      </c>
      <c r="AQ89" s="249"/>
      <c r="AR89" s="243"/>
      <c r="AS89" s="70">
        <v>55</v>
      </c>
      <c r="AT89" s="249"/>
      <c r="AU89" s="243"/>
      <c r="AV89" s="70">
        <v>49</v>
      </c>
      <c r="AW89" s="249"/>
      <c r="AX89" s="243"/>
      <c r="AY89" s="70">
        <v>45</v>
      </c>
      <c r="AZ89" s="249"/>
      <c r="BA89" s="243"/>
      <c r="BB89" s="70">
        <v>84</v>
      </c>
      <c r="BC89" s="249"/>
      <c r="BD89" s="243"/>
      <c r="BE89" s="70">
        <v>148</v>
      </c>
      <c r="BF89" s="249"/>
      <c r="BG89" s="243"/>
      <c r="BH89" s="70">
        <v>123</v>
      </c>
      <c r="BI89" s="249"/>
      <c r="BJ89" s="243"/>
      <c r="BK89" s="70">
        <v>124</v>
      </c>
      <c r="BL89" s="249"/>
      <c r="BM89" s="243"/>
      <c r="BN89" s="70">
        <v>96</v>
      </c>
      <c r="BO89" s="249"/>
      <c r="BP89" s="243"/>
      <c r="BQ89" s="70">
        <v>72</v>
      </c>
      <c r="BR89" s="249"/>
      <c r="BS89" s="243"/>
      <c r="BT89" s="70">
        <f t="shared" si="33"/>
        <v>647</v>
      </c>
      <c r="BU89" s="70">
        <v>47</v>
      </c>
      <c r="BV89" s="231"/>
      <c r="BW89" s="199"/>
      <c r="BX89" s="70">
        <v>46</v>
      </c>
      <c r="BY89" s="231"/>
      <c r="BZ89" s="199"/>
      <c r="CA89" s="70">
        <v>121</v>
      </c>
      <c r="CB89" s="231"/>
      <c r="CC89" s="199"/>
      <c r="CD89" s="70">
        <v>144</v>
      </c>
      <c r="CE89" s="231"/>
      <c r="CF89" s="199"/>
      <c r="CG89" s="70">
        <v>108</v>
      </c>
      <c r="CH89" s="231"/>
      <c r="CI89" s="199"/>
      <c r="CJ89" s="70">
        <v>76</v>
      </c>
      <c r="CK89" s="231"/>
      <c r="CL89" s="199"/>
      <c r="CM89" s="70">
        <f t="shared" si="34"/>
        <v>542</v>
      </c>
      <c r="CN89" s="70">
        <v>21</v>
      </c>
      <c r="CO89" s="231"/>
      <c r="CP89" s="232"/>
      <c r="CQ89" s="70">
        <v>75</v>
      </c>
      <c r="CR89" s="231"/>
      <c r="CS89" s="232"/>
      <c r="CT89" s="70">
        <v>115</v>
      </c>
      <c r="CU89" s="231"/>
      <c r="CV89" s="232"/>
      <c r="CW89" s="70">
        <v>81</v>
      </c>
      <c r="CX89" s="231"/>
      <c r="CY89" s="232"/>
      <c r="CZ89" s="70">
        <v>56</v>
      </c>
      <c r="DA89" s="231"/>
      <c r="DB89" s="232"/>
      <c r="DC89" s="70">
        <v>27</v>
      </c>
      <c r="DD89" s="231"/>
      <c r="DF89" s="70">
        <f t="shared" si="35"/>
        <v>375</v>
      </c>
      <c r="DG89" s="268"/>
      <c r="DH89" s="70">
        <v>27</v>
      </c>
      <c r="DI89" s="231"/>
      <c r="DK89" s="103">
        <v>40</v>
      </c>
      <c r="DL89" s="231"/>
      <c r="DM89" s="108">
        <v>26</v>
      </c>
      <c r="DN89" s="231"/>
    </row>
    <row r="90" spans="1:118" ht="81" customHeight="1" x14ac:dyDescent="0.2">
      <c r="A90" s="195" t="s">
        <v>139</v>
      </c>
      <c r="B90" s="69" t="s">
        <v>140</v>
      </c>
      <c r="C90" s="70">
        <v>33636</v>
      </c>
      <c r="D90" s="248">
        <f>+C90/C91</f>
        <v>7.0622323003275396</v>
      </c>
      <c r="E90" s="71"/>
      <c r="F90" s="70">
        <v>2061</v>
      </c>
      <c r="G90" s="248">
        <f>+F90/F91</f>
        <v>6.627009646302251</v>
      </c>
      <c r="H90" s="71"/>
      <c r="I90" s="70">
        <v>2781</v>
      </c>
      <c r="J90" s="248">
        <f>+I90/I91</f>
        <v>14.188775510204081</v>
      </c>
      <c r="K90" s="71"/>
      <c r="L90" s="70">
        <v>535</v>
      </c>
      <c r="M90" s="248">
        <f>+L90/L91</f>
        <v>2.9722222222222223</v>
      </c>
      <c r="N90" s="242"/>
      <c r="O90" s="70">
        <v>1003</v>
      </c>
      <c r="P90" s="248">
        <f>+O90/O91</f>
        <v>4.9900497512437809</v>
      </c>
      <c r="Q90" s="242"/>
      <c r="R90" s="70">
        <v>1389</v>
      </c>
      <c r="S90" s="248">
        <f>+R90/R91</f>
        <v>4.9607142857142854</v>
      </c>
      <c r="T90" s="242"/>
      <c r="U90" s="70">
        <v>1848</v>
      </c>
      <c r="V90" s="248">
        <f>+U90/U91</f>
        <v>5.8481012658227849</v>
      </c>
      <c r="W90" s="242"/>
      <c r="X90" s="70">
        <v>1935</v>
      </c>
      <c r="Y90" s="248">
        <f>+X90/X91</f>
        <v>7.062043795620438</v>
      </c>
      <c r="Z90" s="242"/>
      <c r="AA90" s="70">
        <v>1429</v>
      </c>
      <c r="AB90" s="248">
        <f>+AA90/AA91</f>
        <v>5.808943089430894</v>
      </c>
      <c r="AC90" s="242"/>
      <c r="AD90" s="70">
        <v>1866</v>
      </c>
      <c r="AE90" s="248">
        <f>+AD90/AD91</f>
        <v>5.8864353312302837</v>
      </c>
      <c r="AF90" s="242"/>
      <c r="AG90" s="70">
        <v>2271</v>
      </c>
      <c r="AH90" s="248">
        <f>+AG90/AG91</f>
        <v>7.3973941368078178</v>
      </c>
      <c r="AI90" s="242"/>
      <c r="AJ90" s="70">
        <v>2388</v>
      </c>
      <c r="AK90" s="248">
        <f>+AJ90/AJ91</f>
        <v>8.0404040404040398</v>
      </c>
      <c r="AL90" s="242"/>
      <c r="AM90" s="70">
        <v>2926</v>
      </c>
      <c r="AN90" s="248">
        <f>+AM90/AM91</f>
        <v>9.625</v>
      </c>
      <c r="AO90" s="242"/>
      <c r="AP90" s="70">
        <v>2382</v>
      </c>
      <c r="AQ90" s="248">
        <f>+AP90/AP91</f>
        <v>9.3046875</v>
      </c>
      <c r="AR90" s="242"/>
      <c r="AS90" s="70">
        <v>1955</v>
      </c>
      <c r="AT90" s="248">
        <f>+AS90/AS91</f>
        <v>8.1458333333333339</v>
      </c>
      <c r="AU90" s="242"/>
      <c r="AV90" s="70">
        <v>1166</v>
      </c>
      <c r="AW90" s="248">
        <f>+AV90/AV91</f>
        <v>7.1097560975609753</v>
      </c>
      <c r="AX90" s="242"/>
      <c r="AY90" s="70">
        <v>487</v>
      </c>
      <c r="AZ90" s="248">
        <f>+AY90/AY91</f>
        <v>4.5092592592592595</v>
      </c>
      <c r="BA90" s="242"/>
      <c r="BB90" s="70">
        <v>640</v>
      </c>
      <c r="BC90" s="248">
        <f>+BB90/BB91</f>
        <v>3.7869822485207099</v>
      </c>
      <c r="BD90" s="242"/>
      <c r="BE90" s="70">
        <v>1064</v>
      </c>
      <c r="BF90" s="248">
        <f>+BE90/BE91</f>
        <v>5.32</v>
      </c>
      <c r="BG90" s="242"/>
      <c r="BH90" s="70">
        <v>1007</v>
      </c>
      <c r="BI90" s="248">
        <f>+BH90/BH91</f>
        <v>6.4140127388535033</v>
      </c>
      <c r="BJ90" s="242"/>
      <c r="BK90" s="70">
        <v>1620</v>
      </c>
      <c r="BL90" s="248">
        <f>+BK90/BK91</f>
        <v>8.526315789473685</v>
      </c>
      <c r="BM90" s="242"/>
      <c r="BN90" s="70">
        <v>1590</v>
      </c>
      <c r="BO90" s="248">
        <f>+BN90/BN91</f>
        <v>6.8240343347639483</v>
      </c>
      <c r="BP90" s="242"/>
      <c r="BQ90" s="70">
        <v>1000</v>
      </c>
      <c r="BR90" s="248">
        <f>+BQ90/BQ91</f>
        <v>6.756756756756757</v>
      </c>
      <c r="BS90" s="242"/>
      <c r="BT90" s="70">
        <f t="shared" si="33"/>
        <v>6921</v>
      </c>
      <c r="BU90" s="70">
        <v>1497</v>
      </c>
      <c r="BV90" s="230">
        <f>BU90/BU91</f>
        <v>7.0613207547169807</v>
      </c>
      <c r="BW90" s="198" t="s">
        <v>246</v>
      </c>
      <c r="BX90" s="70">
        <v>1123</v>
      </c>
      <c r="BY90" s="230">
        <f>BX90/BX91</f>
        <v>5.3476190476190473</v>
      </c>
      <c r="BZ90" s="198" t="s">
        <v>246</v>
      </c>
      <c r="CA90" s="70">
        <v>1198</v>
      </c>
      <c r="CB90" s="230">
        <f>CA90/CA91</f>
        <v>6.7303370786516856</v>
      </c>
      <c r="CC90" s="198" t="s">
        <v>246</v>
      </c>
      <c r="CD90" s="70">
        <v>1319</v>
      </c>
      <c r="CE90" s="230">
        <f>CD90/CD91</f>
        <v>5.7598253275109172</v>
      </c>
      <c r="CF90" s="198" t="s">
        <v>246</v>
      </c>
      <c r="CG90" s="70">
        <v>1161</v>
      </c>
      <c r="CH90" s="230">
        <f>CG90/CG91</f>
        <v>6.275675675675676</v>
      </c>
      <c r="CI90" s="198" t="s">
        <v>310</v>
      </c>
      <c r="CJ90" s="70">
        <v>937</v>
      </c>
      <c r="CK90" s="230">
        <f>CJ90/CJ91</f>
        <v>9.7604166666666661</v>
      </c>
      <c r="CL90" s="198" t="s">
        <v>310</v>
      </c>
      <c r="CM90" s="70">
        <f t="shared" si="34"/>
        <v>7235</v>
      </c>
      <c r="CN90" s="70">
        <v>518</v>
      </c>
      <c r="CO90" s="230">
        <f>CN90/CN91</f>
        <v>17.266666666666666</v>
      </c>
      <c r="CP90" s="232" t="s">
        <v>356</v>
      </c>
      <c r="CQ90" s="70">
        <v>1504</v>
      </c>
      <c r="CR90" s="230">
        <f>CQ90/CQ91</f>
        <v>6.9629629629629628</v>
      </c>
      <c r="CS90" s="232" t="s">
        <v>357</v>
      </c>
      <c r="CT90" s="70">
        <v>2783</v>
      </c>
      <c r="CU90" s="230">
        <f>CT90/CT91</f>
        <v>9.6297577854671275</v>
      </c>
      <c r="CV90" s="232" t="s">
        <v>393</v>
      </c>
      <c r="CW90" s="70">
        <v>1960</v>
      </c>
      <c r="CX90" s="230">
        <f>CW90/CW91</f>
        <v>8.6725663716814161</v>
      </c>
      <c r="CY90" s="232" t="s">
        <v>434</v>
      </c>
      <c r="CZ90" s="70">
        <v>1141</v>
      </c>
      <c r="DA90" s="230">
        <f>CZ90/CZ91</f>
        <v>5.9738219895287958</v>
      </c>
      <c r="DB90" s="232" t="s">
        <v>434</v>
      </c>
      <c r="DC90" s="70">
        <v>648</v>
      </c>
      <c r="DD90" s="230">
        <f>DC90/DC91</f>
        <v>6.29126213592233</v>
      </c>
      <c r="DF90" s="70">
        <f t="shared" si="35"/>
        <v>8554</v>
      </c>
      <c r="DG90" s="267">
        <f t="shared" ref="DG90" si="45">DF90/DF91</f>
        <v>8.1080568720379151</v>
      </c>
      <c r="DH90" s="106">
        <v>903</v>
      </c>
      <c r="DI90" s="230">
        <f>DH90/DH91</f>
        <v>6.45</v>
      </c>
      <c r="DK90" s="106">
        <v>818</v>
      </c>
      <c r="DL90" s="230">
        <f>DK90/DK91</f>
        <v>5.6805555555555554</v>
      </c>
      <c r="DM90" s="106">
        <v>377</v>
      </c>
      <c r="DN90" s="230">
        <f>DM90/DM91</f>
        <v>4.6543209876543212</v>
      </c>
    </row>
    <row r="91" spans="1:118" ht="64.5" customHeight="1" x14ac:dyDescent="0.2">
      <c r="A91" s="195"/>
      <c r="B91" s="69" t="s">
        <v>141</v>
      </c>
      <c r="C91" s="70">
        <v>4762.7999999999993</v>
      </c>
      <c r="D91" s="249"/>
      <c r="E91" s="71"/>
      <c r="F91" s="70">
        <v>311</v>
      </c>
      <c r="G91" s="249"/>
      <c r="H91" s="71"/>
      <c r="I91" s="70">
        <v>196</v>
      </c>
      <c r="J91" s="249"/>
      <c r="K91" s="71"/>
      <c r="L91" s="70">
        <v>180</v>
      </c>
      <c r="M91" s="249"/>
      <c r="N91" s="243"/>
      <c r="O91" s="70">
        <v>201</v>
      </c>
      <c r="P91" s="249"/>
      <c r="Q91" s="243"/>
      <c r="R91" s="70">
        <v>280</v>
      </c>
      <c r="S91" s="249"/>
      <c r="T91" s="243"/>
      <c r="U91" s="70">
        <v>316</v>
      </c>
      <c r="V91" s="249"/>
      <c r="W91" s="243"/>
      <c r="X91" s="70">
        <v>274</v>
      </c>
      <c r="Y91" s="249"/>
      <c r="Z91" s="243"/>
      <c r="AA91" s="70">
        <v>246</v>
      </c>
      <c r="AB91" s="249"/>
      <c r="AC91" s="243"/>
      <c r="AD91" s="70">
        <v>317</v>
      </c>
      <c r="AE91" s="249"/>
      <c r="AF91" s="243"/>
      <c r="AG91" s="70">
        <v>307</v>
      </c>
      <c r="AH91" s="249"/>
      <c r="AI91" s="243"/>
      <c r="AJ91" s="70">
        <v>297</v>
      </c>
      <c r="AK91" s="249"/>
      <c r="AL91" s="243"/>
      <c r="AM91" s="70">
        <v>304</v>
      </c>
      <c r="AN91" s="249"/>
      <c r="AO91" s="243"/>
      <c r="AP91" s="70">
        <v>256</v>
      </c>
      <c r="AQ91" s="249"/>
      <c r="AR91" s="243"/>
      <c r="AS91" s="70">
        <v>240</v>
      </c>
      <c r="AT91" s="249"/>
      <c r="AU91" s="243"/>
      <c r="AV91" s="70">
        <v>164</v>
      </c>
      <c r="AW91" s="249"/>
      <c r="AX91" s="243"/>
      <c r="AY91" s="70">
        <v>108</v>
      </c>
      <c r="AZ91" s="249"/>
      <c r="BA91" s="243"/>
      <c r="BB91" s="70">
        <v>169</v>
      </c>
      <c r="BC91" s="249"/>
      <c r="BD91" s="243"/>
      <c r="BE91" s="70">
        <v>200</v>
      </c>
      <c r="BF91" s="249"/>
      <c r="BG91" s="243"/>
      <c r="BH91" s="70">
        <v>157</v>
      </c>
      <c r="BI91" s="249"/>
      <c r="BJ91" s="243"/>
      <c r="BK91" s="70">
        <v>190</v>
      </c>
      <c r="BL91" s="249"/>
      <c r="BM91" s="243"/>
      <c r="BN91" s="70">
        <v>233</v>
      </c>
      <c r="BO91" s="249"/>
      <c r="BP91" s="243"/>
      <c r="BQ91" s="70">
        <v>148</v>
      </c>
      <c r="BR91" s="249"/>
      <c r="BS91" s="243"/>
      <c r="BT91" s="70">
        <f t="shared" si="33"/>
        <v>1097</v>
      </c>
      <c r="BU91" s="70">
        <v>212</v>
      </c>
      <c r="BV91" s="231"/>
      <c r="BW91" s="199"/>
      <c r="BX91" s="70">
        <v>210</v>
      </c>
      <c r="BY91" s="231"/>
      <c r="BZ91" s="199"/>
      <c r="CA91" s="70">
        <v>178</v>
      </c>
      <c r="CB91" s="231"/>
      <c r="CC91" s="199"/>
      <c r="CD91" s="70">
        <v>229</v>
      </c>
      <c r="CE91" s="231"/>
      <c r="CF91" s="199"/>
      <c r="CG91" s="70">
        <v>185</v>
      </c>
      <c r="CH91" s="231"/>
      <c r="CI91" s="199"/>
      <c r="CJ91" s="70">
        <v>96</v>
      </c>
      <c r="CK91" s="231"/>
      <c r="CL91" s="199"/>
      <c r="CM91" s="70">
        <f t="shared" si="34"/>
        <v>1110</v>
      </c>
      <c r="CN91" s="70">
        <v>30</v>
      </c>
      <c r="CO91" s="231"/>
      <c r="CP91" s="232"/>
      <c r="CQ91" s="70">
        <v>216</v>
      </c>
      <c r="CR91" s="231"/>
      <c r="CS91" s="232"/>
      <c r="CT91" s="70">
        <v>289</v>
      </c>
      <c r="CU91" s="231"/>
      <c r="CV91" s="232"/>
      <c r="CW91" s="70">
        <v>226</v>
      </c>
      <c r="CX91" s="231"/>
      <c r="CY91" s="232"/>
      <c r="CZ91" s="70">
        <v>191</v>
      </c>
      <c r="DA91" s="231"/>
      <c r="DB91" s="232"/>
      <c r="DC91" s="70">
        <v>103</v>
      </c>
      <c r="DD91" s="231"/>
      <c r="DF91" s="70">
        <f t="shared" si="35"/>
        <v>1055</v>
      </c>
      <c r="DG91" s="268"/>
      <c r="DH91" s="106">
        <v>140</v>
      </c>
      <c r="DI91" s="231"/>
      <c r="DK91" s="106">
        <v>144</v>
      </c>
      <c r="DL91" s="231"/>
      <c r="DM91" s="106">
        <v>81</v>
      </c>
      <c r="DN91" s="231"/>
    </row>
    <row r="92" spans="1:118" ht="75" hidden="1" customHeight="1" x14ac:dyDescent="0.2">
      <c r="A92" s="195" t="s">
        <v>142</v>
      </c>
      <c r="B92" s="69" t="s">
        <v>143</v>
      </c>
      <c r="C92" s="70">
        <v>33636</v>
      </c>
      <c r="D92" s="248">
        <f>+C92/C93</f>
        <v>7.0622323003275396</v>
      </c>
      <c r="E92" s="71"/>
      <c r="F92" s="70">
        <v>2061</v>
      </c>
      <c r="G92" s="248">
        <f>+F92/F93</f>
        <v>6.627009646302251</v>
      </c>
      <c r="H92" s="71"/>
      <c r="I92" s="70">
        <v>2781</v>
      </c>
      <c r="J92" s="248">
        <f>+I92/I93</f>
        <v>14.188775510204081</v>
      </c>
      <c r="K92" s="71"/>
      <c r="L92" s="70">
        <v>535</v>
      </c>
      <c r="M92" s="248">
        <f>+L92/L93</f>
        <v>2.9722222222222223</v>
      </c>
      <c r="N92" s="242"/>
      <c r="O92" s="70">
        <v>1003</v>
      </c>
      <c r="P92" s="248">
        <f>+O92/O93</f>
        <v>4.9900497512437809</v>
      </c>
      <c r="Q92" s="242"/>
      <c r="R92" s="70">
        <v>1389</v>
      </c>
      <c r="S92" s="248">
        <f>+R92/R93</f>
        <v>4.9607142857142854</v>
      </c>
      <c r="T92" s="242"/>
      <c r="U92" s="70">
        <v>1848</v>
      </c>
      <c r="V92" s="248">
        <f>+U92/U93</f>
        <v>5.8481012658227849</v>
      </c>
      <c r="W92" s="242"/>
      <c r="X92" s="70">
        <v>1935</v>
      </c>
      <c r="Y92" s="248">
        <f>+X92/X93</f>
        <v>7.062043795620438</v>
      </c>
      <c r="Z92" s="242"/>
      <c r="AA92" s="70">
        <v>1429</v>
      </c>
      <c r="AB92" s="248">
        <f>+AA92/AA93</f>
        <v>5.808943089430894</v>
      </c>
      <c r="AC92" s="242"/>
      <c r="AD92" s="70">
        <v>1866</v>
      </c>
      <c r="AE92" s="248">
        <f>+AD92/AD93</f>
        <v>5.8864353312302837</v>
      </c>
      <c r="AF92" s="242"/>
      <c r="AG92" s="70">
        <v>0</v>
      </c>
      <c r="AH92" s="248" t="e">
        <f>+AG92/AG93</f>
        <v>#DIV/0!</v>
      </c>
      <c r="AI92" s="198" t="s">
        <v>190</v>
      </c>
      <c r="AJ92" s="70">
        <v>0</v>
      </c>
      <c r="AK92" s="248" t="e">
        <f>+AJ92/AJ93</f>
        <v>#DIV/0!</v>
      </c>
      <c r="AL92" s="198" t="s">
        <v>190</v>
      </c>
      <c r="AM92" s="70" t="s">
        <v>47</v>
      </c>
      <c r="AN92" s="248" t="s">
        <v>47</v>
      </c>
      <c r="AO92" s="198" t="s">
        <v>190</v>
      </c>
      <c r="AP92" s="70" t="s">
        <v>47</v>
      </c>
      <c r="AQ92" s="248" t="s">
        <v>47</v>
      </c>
      <c r="AR92" s="198" t="s">
        <v>190</v>
      </c>
      <c r="AS92" s="70" t="s">
        <v>47</v>
      </c>
      <c r="AT92" s="248" t="s">
        <v>47</v>
      </c>
      <c r="AU92" s="198" t="s">
        <v>190</v>
      </c>
      <c r="AV92" s="70" t="s">
        <v>47</v>
      </c>
      <c r="AW92" s="248" t="s">
        <v>47</v>
      </c>
      <c r="AX92" s="198" t="s">
        <v>190</v>
      </c>
      <c r="AY92" s="70" t="s">
        <v>47</v>
      </c>
      <c r="AZ92" s="248" t="s">
        <v>47</v>
      </c>
      <c r="BA92" s="198" t="s">
        <v>190</v>
      </c>
      <c r="BB92" s="70" t="s">
        <v>47</v>
      </c>
      <c r="BC92" s="248" t="s">
        <v>47</v>
      </c>
      <c r="BD92" s="198" t="s">
        <v>190</v>
      </c>
      <c r="BE92" s="70"/>
      <c r="BF92" s="248" t="s">
        <v>47</v>
      </c>
      <c r="BG92" s="198" t="s">
        <v>190</v>
      </c>
      <c r="BH92" s="70"/>
      <c r="BI92" s="248" t="s">
        <v>47</v>
      </c>
      <c r="BJ92" s="198" t="s">
        <v>190</v>
      </c>
      <c r="BK92" s="70"/>
      <c r="BL92" s="248" t="s">
        <v>47</v>
      </c>
      <c r="BM92" s="198" t="s">
        <v>190</v>
      </c>
      <c r="BN92" s="70"/>
      <c r="BO92" s="248" t="s">
        <v>47</v>
      </c>
      <c r="BP92" s="198" t="s">
        <v>190</v>
      </c>
      <c r="BQ92" s="70"/>
      <c r="BR92" s="248" t="s">
        <v>47</v>
      </c>
      <c r="BS92" s="198" t="s">
        <v>190</v>
      </c>
      <c r="BT92" s="70" t="e">
        <f t="shared" si="33"/>
        <v>#VALUE!</v>
      </c>
      <c r="BU92" s="70"/>
      <c r="BV92" s="242"/>
      <c r="BW92" s="72"/>
      <c r="BX92" s="70"/>
      <c r="BY92" s="242"/>
      <c r="BZ92" s="72"/>
      <c r="CA92" s="70"/>
      <c r="CB92" s="242"/>
      <c r="CC92" s="72"/>
      <c r="CD92" s="70"/>
      <c r="CE92" s="242"/>
      <c r="CF92" s="72"/>
      <c r="CG92" s="70"/>
      <c r="CH92" s="242"/>
      <c r="CI92" s="72"/>
      <c r="CJ92" s="70"/>
      <c r="CK92" s="242"/>
      <c r="CL92" s="72"/>
      <c r="CM92" s="70">
        <f t="shared" si="34"/>
        <v>0</v>
      </c>
      <c r="DF92" s="70">
        <f t="shared" si="35"/>
        <v>0</v>
      </c>
      <c r="DG92" s="267" t="e">
        <f t="shared" ref="DG92" si="46">DF92/DF93</f>
        <v>#DIV/0!</v>
      </c>
    </row>
    <row r="93" spans="1:118" ht="42" hidden="1" customHeight="1" x14ac:dyDescent="0.2">
      <c r="A93" s="195"/>
      <c r="B93" s="69" t="s">
        <v>144</v>
      </c>
      <c r="C93" s="70">
        <v>4762.7999999999993</v>
      </c>
      <c r="D93" s="249"/>
      <c r="E93" s="71"/>
      <c r="F93" s="70">
        <v>311</v>
      </c>
      <c r="G93" s="249"/>
      <c r="H93" s="71"/>
      <c r="I93" s="70">
        <v>196</v>
      </c>
      <c r="J93" s="249"/>
      <c r="K93" s="71"/>
      <c r="L93" s="70">
        <v>180</v>
      </c>
      <c r="M93" s="249"/>
      <c r="N93" s="243"/>
      <c r="O93" s="70">
        <v>201</v>
      </c>
      <c r="P93" s="249"/>
      <c r="Q93" s="243"/>
      <c r="R93" s="70">
        <v>280</v>
      </c>
      <c r="S93" s="249"/>
      <c r="T93" s="243"/>
      <c r="U93" s="70">
        <v>316</v>
      </c>
      <c r="V93" s="249"/>
      <c r="W93" s="243"/>
      <c r="X93" s="70">
        <v>274</v>
      </c>
      <c r="Y93" s="249"/>
      <c r="Z93" s="243"/>
      <c r="AA93" s="70">
        <v>246</v>
      </c>
      <c r="AB93" s="249"/>
      <c r="AC93" s="243"/>
      <c r="AD93" s="70">
        <v>317</v>
      </c>
      <c r="AE93" s="249"/>
      <c r="AF93" s="243"/>
      <c r="AG93" s="70">
        <v>0</v>
      </c>
      <c r="AH93" s="249"/>
      <c r="AI93" s="199"/>
      <c r="AJ93" s="70">
        <v>0</v>
      </c>
      <c r="AK93" s="249"/>
      <c r="AL93" s="199"/>
      <c r="AM93" s="70" t="s">
        <v>47</v>
      </c>
      <c r="AN93" s="249"/>
      <c r="AO93" s="199"/>
      <c r="AP93" s="70" t="s">
        <v>47</v>
      </c>
      <c r="AQ93" s="249"/>
      <c r="AR93" s="199"/>
      <c r="AS93" s="70" t="s">
        <v>47</v>
      </c>
      <c r="AT93" s="249"/>
      <c r="AU93" s="199"/>
      <c r="AV93" s="70" t="s">
        <v>47</v>
      </c>
      <c r="AW93" s="249"/>
      <c r="AX93" s="199"/>
      <c r="AY93" s="70" t="s">
        <v>47</v>
      </c>
      <c r="AZ93" s="249"/>
      <c r="BA93" s="199"/>
      <c r="BB93" s="70" t="s">
        <v>47</v>
      </c>
      <c r="BC93" s="249"/>
      <c r="BD93" s="199"/>
      <c r="BE93" s="70"/>
      <c r="BF93" s="249"/>
      <c r="BG93" s="199"/>
      <c r="BH93" s="70"/>
      <c r="BI93" s="249"/>
      <c r="BJ93" s="199"/>
      <c r="BK93" s="70"/>
      <c r="BL93" s="249"/>
      <c r="BM93" s="199"/>
      <c r="BN93" s="70"/>
      <c r="BO93" s="249"/>
      <c r="BP93" s="199"/>
      <c r="BQ93" s="70"/>
      <c r="BR93" s="249"/>
      <c r="BS93" s="199"/>
      <c r="BT93" s="70" t="e">
        <f t="shared" si="33"/>
        <v>#VALUE!</v>
      </c>
      <c r="BU93" s="70"/>
      <c r="BV93" s="243"/>
      <c r="BW93" s="72"/>
      <c r="BX93" s="70"/>
      <c r="BY93" s="243"/>
      <c r="BZ93" s="72"/>
      <c r="CA93" s="70"/>
      <c r="CB93" s="243"/>
      <c r="CC93" s="72"/>
      <c r="CD93" s="70"/>
      <c r="CE93" s="243"/>
      <c r="CF93" s="72"/>
      <c r="CG93" s="70"/>
      <c r="CH93" s="243"/>
      <c r="CI93" s="72"/>
      <c r="CJ93" s="70"/>
      <c r="CK93" s="243"/>
      <c r="CL93" s="72"/>
      <c r="CM93" s="70">
        <f t="shared" si="34"/>
        <v>0</v>
      </c>
      <c r="DF93" s="70">
        <f t="shared" si="35"/>
        <v>0</v>
      </c>
      <c r="DG93" s="268"/>
    </row>
    <row r="94" spans="1:118" ht="81.75" customHeight="1" x14ac:dyDescent="0.2">
      <c r="A94" s="195" t="s">
        <v>145</v>
      </c>
      <c r="B94" s="69" t="s">
        <v>146</v>
      </c>
      <c r="C94" s="70">
        <v>22502.400000000001</v>
      </c>
      <c r="D94" s="248">
        <f>+C94/C95</f>
        <v>8.1993878443375614</v>
      </c>
      <c r="E94" s="71"/>
      <c r="F94" s="70">
        <v>1971</v>
      </c>
      <c r="G94" s="248">
        <f>+F94/F95</f>
        <v>7.69921875</v>
      </c>
      <c r="H94" s="71"/>
      <c r="I94" s="70">
        <v>3277</v>
      </c>
      <c r="J94" s="248">
        <f>+I94/I95</f>
        <v>16.467336683417084</v>
      </c>
      <c r="K94" s="71"/>
      <c r="L94" s="70">
        <v>423</v>
      </c>
      <c r="M94" s="248">
        <f>+L94/L95</f>
        <v>3.0431654676258995</v>
      </c>
      <c r="N94" s="242"/>
      <c r="O94" s="70">
        <v>1430</v>
      </c>
      <c r="P94" s="248">
        <f>+O94/O95</f>
        <v>8.8271604938271597</v>
      </c>
      <c r="Q94" s="242"/>
      <c r="R94" s="70">
        <v>1150</v>
      </c>
      <c r="S94" s="248">
        <f>+R94/R95</f>
        <v>7.232704402515723</v>
      </c>
      <c r="T94" s="242"/>
      <c r="U94" s="70">
        <v>1714</v>
      </c>
      <c r="V94" s="248">
        <f>+U94/U95</f>
        <v>8.009345794392523</v>
      </c>
      <c r="W94" s="242"/>
      <c r="X94" s="70">
        <v>1550</v>
      </c>
      <c r="Y94" s="248">
        <f>+X94/X95</f>
        <v>6.4049586776859506</v>
      </c>
      <c r="Z94" s="242"/>
      <c r="AA94" s="70">
        <v>1245</v>
      </c>
      <c r="AB94" s="248">
        <f>+AA94/AA95</f>
        <v>6.4175257731958766</v>
      </c>
      <c r="AC94" s="242"/>
      <c r="AD94" s="70">
        <v>2193</v>
      </c>
      <c r="AE94" s="248">
        <f>+AD94/AD95</f>
        <v>8.3384030418250958</v>
      </c>
      <c r="AF94" s="242"/>
      <c r="AG94" s="70">
        <v>2099</v>
      </c>
      <c r="AH94" s="248">
        <f>+AG94/AG95</f>
        <v>8.8565400843881861</v>
      </c>
      <c r="AI94" s="242"/>
      <c r="AJ94" s="70">
        <v>2796</v>
      </c>
      <c r="AK94" s="248">
        <f>+AJ94/AJ95</f>
        <v>11.007874015748031</v>
      </c>
      <c r="AL94" s="242"/>
      <c r="AM94" s="70">
        <v>2772</v>
      </c>
      <c r="AN94" s="248">
        <f>+AM94/AM95</f>
        <v>10.043478260869565</v>
      </c>
      <c r="AO94" s="242"/>
      <c r="AP94" s="70">
        <v>2187</v>
      </c>
      <c r="AQ94" s="248">
        <f>+AP94/AP95</f>
        <v>8.926530612244898</v>
      </c>
      <c r="AR94" s="242"/>
      <c r="AS94" s="70">
        <v>2206</v>
      </c>
      <c r="AT94" s="248">
        <f>+AS94/AS95</f>
        <v>9.3872340425531906</v>
      </c>
      <c r="AU94" s="242"/>
      <c r="AV94" s="70">
        <v>1289</v>
      </c>
      <c r="AW94" s="248">
        <f>+AV94/AV95</f>
        <v>8.5933333333333337</v>
      </c>
      <c r="AX94" s="242"/>
      <c r="AY94" s="70">
        <v>705</v>
      </c>
      <c r="AZ94" s="248">
        <f>+AY94/AY95</f>
        <v>7.833333333333333</v>
      </c>
      <c r="BA94" s="242"/>
      <c r="BB94" s="70">
        <v>564</v>
      </c>
      <c r="BC94" s="248">
        <f>+BB94/BB95</f>
        <v>5.371428571428571</v>
      </c>
      <c r="BD94" s="242"/>
      <c r="BE94" s="70">
        <v>864</v>
      </c>
      <c r="BF94" s="248">
        <f>+BE94/BE95</f>
        <v>6.4477611940298507</v>
      </c>
      <c r="BG94" s="242"/>
      <c r="BH94" s="70">
        <v>1027</v>
      </c>
      <c r="BI94" s="248">
        <f>+BH94/BH95</f>
        <v>8.4180327868852451</v>
      </c>
      <c r="BJ94" s="242"/>
      <c r="BK94" s="70">
        <v>1448</v>
      </c>
      <c r="BL94" s="248">
        <f>+BK94/BK95</f>
        <v>9.7837837837837842</v>
      </c>
      <c r="BM94" s="242"/>
      <c r="BN94" s="70">
        <v>1307</v>
      </c>
      <c r="BO94" s="248">
        <f>+BN94/BN95</f>
        <v>7.9212121212121209</v>
      </c>
      <c r="BP94" s="242"/>
      <c r="BQ94" s="70">
        <v>1329</v>
      </c>
      <c r="BR94" s="248">
        <f>+BQ94/BQ95</f>
        <v>9.4255319148936163</v>
      </c>
      <c r="BS94" s="242"/>
      <c r="BT94" s="70">
        <f t="shared" si="33"/>
        <v>6539</v>
      </c>
      <c r="BU94" s="70">
        <v>1307</v>
      </c>
      <c r="BV94" s="230">
        <f>BU94/BU95</f>
        <v>10.540322580645162</v>
      </c>
      <c r="BW94" s="198" t="s">
        <v>246</v>
      </c>
      <c r="BX94" s="70">
        <v>948</v>
      </c>
      <c r="BY94" s="230">
        <f>BX94/BX95</f>
        <v>7.7704918032786887</v>
      </c>
      <c r="BZ94" s="198" t="s">
        <v>246</v>
      </c>
      <c r="CA94" s="70">
        <v>812</v>
      </c>
      <c r="CB94" s="230">
        <f>CA94/CA95</f>
        <v>6.7107438016528924</v>
      </c>
      <c r="CC94" s="198" t="s">
        <v>246</v>
      </c>
      <c r="CD94" s="70">
        <v>1396</v>
      </c>
      <c r="CE94" s="230">
        <f>CD94/CD95</f>
        <v>7.6703296703296706</v>
      </c>
      <c r="CF94" s="198" t="s">
        <v>246</v>
      </c>
      <c r="CG94" s="70">
        <v>875</v>
      </c>
      <c r="CH94" s="230">
        <f>CG94/CG95</f>
        <v>7.2314049586776861</v>
      </c>
      <c r="CI94" s="198" t="s">
        <v>310</v>
      </c>
      <c r="CJ94" s="70">
        <v>1164</v>
      </c>
      <c r="CK94" s="230">
        <f>CJ94/CJ95</f>
        <v>12.652173913043478</v>
      </c>
      <c r="CL94" s="198" t="s">
        <v>310</v>
      </c>
      <c r="CM94" s="70">
        <f t="shared" si="34"/>
        <v>6502</v>
      </c>
      <c r="CN94" s="70">
        <v>712</v>
      </c>
      <c r="CO94" s="230">
        <f>CN94/CN95</f>
        <v>16.952380952380953</v>
      </c>
      <c r="CP94" s="232" t="s">
        <v>354</v>
      </c>
      <c r="CQ94" s="70">
        <v>1096</v>
      </c>
      <c r="CR94" s="230">
        <f>CQ94/CQ95</f>
        <v>8</v>
      </c>
      <c r="CS94" s="232" t="s">
        <v>360</v>
      </c>
      <c r="CT94" s="70">
        <v>3424</v>
      </c>
      <c r="CU94" s="230">
        <f>CT94/CT95</f>
        <v>16.382775119617225</v>
      </c>
      <c r="CV94" s="232" t="s">
        <v>393</v>
      </c>
      <c r="CW94" s="70">
        <v>1646</v>
      </c>
      <c r="CX94" s="230">
        <f>CW94/CW95</f>
        <v>11.51048951048951</v>
      </c>
      <c r="CY94" s="232" t="s">
        <v>434</v>
      </c>
      <c r="CZ94" s="70">
        <v>1203</v>
      </c>
      <c r="DA94" s="230">
        <f>CZ94/CZ95</f>
        <v>8.7173913043478262</v>
      </c>
      <c r="DB94" s="232" t="s">
        <v>434</v>
      </c>
      <c r="DC94" s="70">
        <v>619</v>
      </c>
      <c r="DD94" s="230">
        <f>DC94/DC95</f>
        <v>7.4578313253012052</v>
      </c>
      <c r="DF94" s="70">
        <f t="shared" si="35"/>
        <v>8700</v>
      </c>
      <c r="DG94" s="267">
        <f t="shared" ref="DG94" si="47">DF94/DF95</f>
        <v>11.569148936170214</v>
      </c>
      <c r="DH94" s="106">
        <v>456</v>
      </c>
      <c r="DI94" s="230">
        <f>DH94/DH95</f>
        <v>5.7</v>
      </c>
      <c r="DK94" s="106">
        <v>303</v>
      </c>
      <c r="DL94" s="230">
        <f>DK94/DK95</f>
        <v>5.8269230769230766</v>
      </c>
      <c r="DM94" s="106">
        <v>203</v>
      </c>
      <c r="DN94" s="230">
        <f>DM94/DM95</f>
        <v>5.6388888888888893</v>
      </c>
    </row>
    <row r="95" spans="1:118" ht="50.25" customHeight="1" x14ac:dyDescent="0.2">
      <c r="A95" s="195"/>
      <c r="B95" s="69" t="s">
        <v>147</v>
      </c>
      <c r="C95" s="70">
        <v>2744.3999999999996</v>
      </c>
      <c r="D95" s="249"/>
      <c r="E95" s="71"/>
      <c r="F95" s="70">
        <v>256</v>
      </c>
      <c r="G95" s="249"/>
      <c r="H95" s="71"/>
      <c r="I95" s="70">
        <v>199</v>
      </c>
      <c r="J95" s="249"/>
      <c r="K95" s="71"/>
      <c r="L95" s="70">
        <v>139</v>
      </c>
      <c r="M95" s="249"/>
      <c r="N95" s="243"/>
      <c r="O95" s="70">
        <v>162</v>
      </c>
      <c r="P95" s="249"/>
      <c r="Q95" s="243"/>
      <c r="R95" s="70">
        <v>159</v>
      </c>
      <c r="S95" s="249"/>
      <c r="T95" s="243"/>
      <c r="U95" s="70">
        <v>214</v>
      </c>
      <c r="V95" s="249"/>
      <c r="W95" s="243"/>
      <c r="X95" s="70">
        <v>242</v>
      </c>
      <c r="Y95" s="249"/>
      <c r="Z95" s="243"/>
      <c r="AA95" s="70">
        <v>194</v>
      </c>
      <c r="AB95" s="249"/>
      <c r="AC95" s="243"/>
      <c r="AD95" s="70">
        <v>263</v>
      </c>
      <c r="AE95" s="249"/>
      <c r="AF95" s="243"/>
      <c r="AG95" s="70">
        <v>237</v>
      </c>
      <c r="AH95" s="249"/>
      <c r="AI95" s="243"/>
      <c r="AJ95" s="70">
        <v>254</v>
      </c>
      <c r="AK95" s="249"/>
      <c r="AL95" s="243"/>
      <c r="AM95" s="70">
        <v>276</v>
      </c>
      <c r="AN95" s="249"/>
      <c r="AO95" s="243"/>
      <c r="AP95" s="70">
        <v>245</v>
      </c>
      <c r="AQ95" s="249"/>
      <c r="AR95" s="243"/>
      <c r="AS95" s="70">
        <v>235</v>
      </c>
      <c r="AT95" s="249"/>
      <c r="AU95" s="243"/>
      <c r="AV95" s="70">
        <v>150</v>
      </c>
      <c r="AW95" s="249"/>
      <c r="AX95" s="243"/>
      <c r="AY95" s="70">
        <v>90</v>
      </c>
      <c r="AZ95" s="249"/>
      <c r="BA95" s="243"/>
      <c r="BB95" s="70">
        <v>105</v>
      </c>
      <c r="BC95" s="249"/>
      <c r="BD95" s="243"/>
      <c r="BE95" s="70">
        <v>134</v>
      </c>
      <c r="BF95" s="249"/>
      <c r="BG95" s="243"/>
      <c r="BH95" s="70">
        <v>122</v>
      </c>
      <c r="BI95" s="249"/>
      <c r="BJ95" s="243"/>
      <c r="BK95" s="70">
        <v>148</v>
      </c>
      <c r="BL95" s="249"/>
      <c r="BM95" s="243"/>
      <c r="BN95" s="70">
        <v>165</v>
      </c>
      <c r="BO95" s="249"/>
      <c r="BP95" s="243"/>
      <c r="BQ95" s="70">
        <v>141</v>
      </c>
      <c r="BR95" s="249"/>
      <c r="BS95" s="243"/>
      <c r="BT95" s="70">
        <f t="shared" si="33"/>
        <v>815</v>
      </c>
      <c r="BU95" s="70">
        <v>124</v>
      </c>
      <c r="BV95" s="231"/>
      <c r="BW95" s="199"/>
      <c r="BX95" s="70">
        <v>122</v>
      </c>
      <c r="BY95" s="231"/>
      <c r="BZ95" s="199"/>
      <c r="CA95" s="70">
        <v>121</v>
      </c>
      <c r="CB95" s="231"/>
      <c r="CC95" s="199"/>
      <c r="CD95" s="70">
        <v>182</v>
      </c>
      <c r="CE95" s="231"/>
      <c r="CF95" s="199"/>
      <c r="CG95" s="70">
        <v>121</v>
      </c>
      <c r="CH95" s="231"/>
      <c r="CI95" s="199"/>
      <c r="CJ95" s="70">
        <v>92</v>
      </c>
      <c r="CK95" s="231"/>
      <c r="CL95" s="199"/>
      <c r="CM95" s="70">
        <f t="shared" si="34"/>
        <v>762</v>
      </c>
      <c r="CN95" s="70">
        <v>42</v>
      </c>
      <c r="CO95" s="231"/>
      <c r="CP95" s="232"/>
      <c r="CQ95" s="70">
        <v>137</v>
      </c>
      <c r="CR95" s="231"/>
      <c r="CS95" s="232"/>
      <c r="CT95" s="70">
        <v>209</v>
      </c>
      <c r="CU95" s="231"/>
      <c r="CV95" s="232"/>
      <c r="CW95" s="70">
        <v>143</v>
      </c>
      <c r="CX95" s="231"/>
      <c r="CY95" s="232"/>
      <c r="CZ95" s="70">
        <v>138</v>
      </c>
      <c r="DA95" s="231"/>
      <c r="DB95" s="232"/>
      <c r="DC95" s="70">
        <v>83</v>
      </c>
      <c r="DD95" s="231"/>
      <c r="DF95" s="70">
        <f t="shared" si="35"/>
        <v>752</v>
      </c>
      <c r="DG95" s="268"/>
      <c r="DH95" s="106">
        <v>80</v>
      </c>
      <c r="DI95" s="231"/>
      <c r="DK95" s="106">
        <v>52</v>
      </c>
      <c r="DL95" s="231"/>
      <c r="DM95" s="106">
        <v>36</v>
      </c>
      <c r="DN95" s="231"/>
    </row>
    <row r="96" spans="1:118" ht="69" customHeight="1" x14ac:dyDescent="0.2">
      <c r="A96" s="195" t="s">
        <v>148</v>
      </c>
      <c r="B96" s="69" t="s">
        <v>149</v>
      </c>
      <c r="C96" s="76">
        <v>3120</v>
      </c>
      <c r="D96" s="248">
        <f>+C96/C97</f>
        <v>0.68003487358326065</v>
      </c>
      <c r="E96" s="71"/>
      <c r="F96" s="76">
        <v>211</v>
      </c>
      <c r="G96" s="248">
        <f>+F96/F97</f>
        <v>0.28360215053763443</v>
      </c>
      <c r="H96" s="71"/>
      <c r="I96" s="76">
        <v>332</v>
      </c>
      <c r="J96" s="248">
        <f>+I96/I97</f>
        <v>0.46239554317548748</v>
      </c>
      <c r="K96" s="71"/>
      <c r="L96" s="76"/>
      <c r="M96" s="248" t="e">
        <f>+L96/L97</f>
        <v>#DIV/0!</v>
      </c>
      <c r="N96" s="242"/>
      <c r="O96" s="76">
        <v>368</v>
      </c>
      <c r="P96" s="248">
        <f>+O96/O97</f>
        <v>0.49001331557922767</v>
      </c>
      <c r="Q96" s="242"/>
      <c r="R96" s="76">
        <v>468</v>
      </c>
      <c r="S96" s="248">
        <f>+R96/R97</f>
        <v>0.48197734294541711</v>
      </c>
      <c r="T96" s="242"/>
      <c r="U96" s="76">
        <v>309</v>
      </c>
      <c r="V96" s="248">
        <f>+U96/U97</f>
        <v>0.39163498098859317</v>
      </c>
      <c r="W96" s="242"/>
      <c r="X96" s="76">
        <v>309</v>
      </c>
      <c r="Y96" s="248">
        <f>+X96/X97</f>
        <v>0.36098130841121495</v>
      </c>
      <c r="Z96" s="242"/>
      <c r="AA96" s="76">
        <v>309</v>
      </c>
      <c r="AB96" s="248">
        <f>+AA96/AA97</f>
        <v>0.36098130841121495</v>
      </c>
      <c r="AC96" s="242"/>
      <c r="AD96" s="76">
        <v>309</v>
      </c>
      <c r="AE96" s="248">
        <f>+AD96/AD97</f>
        <v>0.36098130841121495</v>
      </c>
      <c r="AF96" s="242"/>
      <c r="AG96" s="76">
        <f>+AG97*(2.48/2)</f>
        <v>1030.44</v>
      </c>
      <c r="AH96" s="248">
        <f>+AG96/AG97</f>
        <v>1.24</v>
      </c>
      <c r="AI96" s="242"/>
      <c r="AJ96" s="76">
        <f>+AJ97*1.09</f>
        <v>1018.0600000000001</v>
      </c>
      <c r="AK96" s="248">
        <f>+AJ96/AJ97</f>
        <v>1.0900000000000001</v>
      </c>
      <c r="AL96" s="242"/>
      <c r="AM96" s="76">
        <v>345</v>
      </c>
      <c r="AN96" s="248">
        <f>+AM96/AM97</f>
        <v>0.36050156739811912</v>
      </c>
      <c r="AO96" s="242"/>
      <c r="AP96" s="76">
        <v>205</v>
      </c>
      <c r="AQ96" s="248">
        <f>+AP96/AP97</f>
        <v>0.26214833759590794</v>
      </c>
      <c r="AR96" s="242"/>
      <c r="AS96" s="76">
        <v>292</v>
      </c>
      <c r="AT96" s="248">
        <f>+AS96/AS97</f>
        <v>0.34844868735083534</v>
      </c>
      <c r="AU96" s="242"/>
      <c r="AV96" s="76">
        <v>526</v>
      </c>
      <c r="AW96" s="248">
        <f>+AV96/AV97</f>
        <v>0.73980309423347401</v>
      </c>
      <c r="AX96" s="242"/>
      <c r="AY96" s="76">
        <v>420</v>
      </c>
      <c r="AZ96" s="248">
        <f>+AY96/AY97</f>
        <v>0.67524115755627012</v>
      </c>
      <c r="BA96" s="242"/>
      <c r="BB96" s="76">
        <f>263+107</f>
        <v>370</v>
      </c>
      <c r="BC96" s="248">
        <f>+BB96/BB97</f>
        <v>0.91811414392059554</v>
      </c>
      <c r="BD96" s="242"/>
      <c r="BE96" s="76">
        <f>329+120</f>
        <v>449</v>
      </c>
      <c r="BF96" s="248">
        <f>+BE96/BE97</f>
        <v>0.93736951983298533</v>
      </c>
      <c r="BG96" s="242"/>
      <c r="BH96" s="76">
        <f>220+122</f>
        <v>342</v>
      </c>
      <c r="BI96" s="248">
        <f>+BH96/BH97</f>
        <v>0.68127490039840632</v>
      </c>
      <c r="BJ96" s="242"/>
      <c r="BK96" s="76">
        <f>196+134</f>
        <v>330</v>
      </c>
      <c r="BL96" s="248">
        <f>+BK96/BK97</f>
        <v>0.63097514340344163</v>
      </c>
      <c r="BM96" s="242"/>
      <c r="BN96" s="76">
        <f>53+320</f>
        <v>373</v>
      </c>
      <c r="BO96" s="248">
        <f>+BN96/BN97</f>
        <v>0.6322033898305085</v>
      </c>
      <c r="BP96" s="242"/>
      <c r="BQ96" s="76">
        <f>182+165</f>
        <v>347</v>
      </c>
      <c r="BR96" s="248">
        <f>+BQ96/BQ97</f>
        <v>0.64022140221402213</v>
      </c>
      <c r="BS96" s="242"/>
      <c r="BT96" s="76">
        <f t="shared" si="33"/>
        <v>2211</v>
      </c>
      <c r="BU96" s="76">
        <v>432</v>
      </c>
      <c r="BV96" s="248">
        <f>BU96/BU97</f>
        <v>0.83397683397683398</v>
      </c>
      <c r="BW96" s="198" t="s">
        <v>229</v>
      </c>
      <c r="BX96" s="76">
        <v>454</v>
      </c>
      <c r="BY96" s="248">
        <f>BX96/BX97</f>
        <v>0.75041322314049586</v>
      </c>
      <c r="BZ96" s="198" t="s">
        <v>230</v>
      </c>
      <c r="CA96" s="76">
        <v>314</v>
      </c>
      <c r="CB96" s="248">
        <f>CA96/CA97</f>
        <v>0.59469696969696972</v>
      </c>
      <c r="CC96" s="198" t="s">
        <v>264</v>
      </c>
      <c r="CD96" s="76">
        <v>102</v>
      </c>
      <c r="CE96" s="248">
        <f>CD96/CD97</f>
        <v>0.16803953871499178</v>
      </c>
      <c r="CF96" s="198" t="s">
        <v>284</v>
      </c>
      <c r="CG96" s="76">
        <v>425</v>
      </c>
      <c r="CH96" s="248">
        <f>CG96/CG97</f>
        <v>0.64102564102564108</v>
      </c>
      <c r="CI96" s="198" t="s">
        <v>311</v>
      </c>
      <c r="CJ96" s="76">
        <v>440</v>
      </c>
      <c r="CK96" s="248">
        <f>CJ96/CJ97</f>
        <v>0.71082390953150243</v>
      </c>
      <c r="CL96" s="198" t="s">
        <v>312</v>
      </c>
      <c r="CM96" s="76">
        <f t="shared" si="34"/>
        <v>2167</v>
      </c>
      <c r="CN96" s="70">
        <v>220</v>
      </c>
      <c r="CO96" s="230">
        <f>+CN96/CN97</f>
        <v>0.90909090909090906</v>
      </c>
      <c r="CP96" s="232" t="s">
        <v>365</v>
      </c>
      <c r="CQ96" s="70">
        <v>366</v>
      </c>
      <c r="CR96" s="230">
        <f>+CQ96/CQ97</f>
        <v>0.65827338129496404</v>
      </c>
      <c r="CS96" s="232" t="s">
        <v>366</v>
      </c>
      <c r="CT96" s="70">
        <v>452</v>
      </c>
      <c r="CU96" s="230">
        <f>+CT96/CT97</f>
        <v>0.68381240544629351</v>
      </c>
      <c r="CV96" s="232" t="s">
        <v>395</v>
      </c>
      <c r="CW96" s="70">
        <v>324</v>
      </c>
      <c r="CX96" s="230">
        <f>+CW96/CW97</f>
        <v>0.67924528301886788</v>
      </c>
      <c r="CY96" s="232" t="s">
        <v>428</v>
      </c>
      <c r="CZ96" s="70">
        <v>435</v>
      </c>
      <c r="DA96" s="230">
        <f>+CZ96/CZ97</f>
        <v>0.80555555555555558</v>
      </c>
      <c r="DB96" s="232" t="s">
        <v>464</v>
      </c>
      <c r="DC96" s="70">
        <v>324.52</v>
      </c>
      <c r="DD96" s="271">
        <f>+DC96/DC97</f>
        <v>0.48291666666666666</v>
      </c>
      <c r="DF96" s="70">
        <f t="shared" si="35"/>
        <v>2121.52</v>
      </c>
      <c r="DG96" s="267" t="e">
        <f t="shared" ref="DG96" si="48">DF96/DF97</f>
        <v>#REF!</v>
      </c>
      <c r="DH96" s="70">
        <v>234.47</v>
      </c>
      <c r="DI96" s="271">
        <f>+DH96/DH97</f>
        <v>0.25458197611292072</v>
      </c>
      <c r="DK96" s="103">
        <v>263.86</v>
      </c>
      <c r="DL96" s="271">
        <f>+DK96/DK97</f>
        <v>0.59832199546485265</v>
      </c>
      <c r="DM96" s="108">
        <v>308.7</v>
      </c>
      <c r="DN96" s="271">
        <f>+DM96/DM97</f>
        <v>1.1025</v>
      </c>
    </row>
    <row r="97" spans="1:118" ht="42" customHeight="1" x14ac:dyDescent="0.2">
      <c r="A97" s="195"/>
      <c r="B97" s="69" t="s">
        <v>150</v>
      </c>
      <c r="C97" s="70">
        <v>4588</v>
      </c>
      <c r="D97" s="249"/>
      <c r="E97" s="71"/>
      <c r="F97" s="70">
        <v>744</v>
      </c>
      <c r="G97" s="249"/>
      <c r="H97" s="71"/>
      <c r="I97" s="70">
        <v>718</v>
      </c>
      <c r="J97" s="249"/>
      <c r="K97" s="71"/>
      <c r="L97" s="70"/>
      <c r="M97" s="249"/>
      <c r="N97" s="243"/>
      <c r="O97" s="70">
        <v>751</v>
      </c>
      <c r="P97" s="249"/>
      <c r="Q97" s="243"/>
      <c r="R97" s="70">
        <v>971</v>
      </c>
      <c r="S97" s="249"/>
      <c r="T97" s="243"/>
      <c r="U97" s="70">
        <v>789</v>
      </c>
      <c r="V97" s="249"/>
      <c r="W97" s="243"/>
      <c r="X97" s="70">
        <v>856</v>
      </c>
      <c r="Y97" s="249"/>
      <c r="Z97" s="243"/>
      <c r="AA97" s="70">
        <v>856</v>
      </c>
      <c r="AB97" s="249"/>
      <c r="AC97" s="243"/>
      <c r="AD97" s="70">
        <v>856</v>
      </c>
      <c r="AE97" s="249"/>
      <c r="AF97" s="243"/>
      <c r="AG97" s="70">
        <v>831</v>
      </c>
      <c r="AH97" s="249"/>
      <c r="AI97" s="243"/>
      <c r="AJ97" s="70">
        <v>934</v>
      </c>
      <c r="AK97" s="249"/>
      <c r="AL97" s="243"/>
      <c r="AM97" s="70">
        <v>957</v>
      </c>
      <c r="AN97" s="249"/>
      <c r="AO97" s="243"/>
      <c r="AP97" s="70">
        <v>782</v>
      </c>
      <c r="AQ97" s="249"/>
      <c r="AR97" s="243"/>
      <c r="AS97" s="70">
        <v>838</v>
      </c>
      <c r="AT97" s="249"/>
      <c r="AU97" s="243"/>
      <c r="AV97" s="70">
        <v>711</v>
      </c>
      <c r="AW97" s="249"/>
      <c r="AX97" s="243"/>
      <c r="AY97" s="70">
        <v>622</v>
      </c>
      <c r="AZ97" s="249"/>
      <c r="BA97" s="243"/>
      <c r="BB97" s="70">
        <f>90+313</f>
        <v>403</v>
      </c>
      <c r="BC97" s="249"/>
      <c r="BD97" s="243"/>
      <c r="BE97" s="70">
        <f>72+407</f>
        <v>479</v>
      </c>
      <c r="BF97" s="249"/>
      <c r="BG97" s="243"/>
      <c r="BH97" s="70">
        <f>70+432</f>
        <v>502</v>
      </c>
      <c r="BI97" s="249"/>
      <c r="BJ97" s="243"/>
      <c r="BK97" s="70">
        <f>73+450</f>
        <v>523</v>
      </c>
      <c r="BL97" s="249"/>
      <c r="BM97" s="243"/>
      <c r="BN97" s="70">
        <f>22+568</f>
        <v>590</v>
      </c>
      <c r="BO97" s="249"/>
      <c r="BP97" s="243"/>
      <c r="BQ97" s="70">
        <f>26+516</f>
        <v>542</v>
      </c>
      <c r="BR97" s="249"/>
      <c r="BS97" s="243"/>
      <c r="BT97" s="70">
        <f t="shared" si="33"/>
        <v>3039</v>
      </c>
      <c r="BU97" s="70">
        <v>518</v>
      </c>
      <c r="BV97" s="249"/>
      <c r="BW97" s="199"/>
      <c r="BX97" s="70">
        <v>605</v>
      </c>
      <c r="BY97" s="249"/>
      <c r="BZ97" s="199"/>
      <c r="CA97" s="70">
        <v>528</v>
      </c>
      <c r="CB97" s="249"/>
      <c r="CC97" s="199"/>
      <c r="CD97" s="70">
        <v>607</v>
      </c>
      <c r="CE97" s="249"/>
      <c r="CF97" s="199"/>
      <c r="CG97" s="70">
        <v>663</v>
      </c>
      <c r="CH97" s="249"/>
      <c r="CI97" s="199"/>
      <c r="CJ97" s="70">
        <v>619</v>
      </c>
      <c r="CK97" s="249"/>
      <c r="CL97" s="199"/>
      <c r="CM97" s="70">
        <f t="shared" si="34"/>
        <v>3540</v>
      </c>
      <c r="CN97" s="70">
        <v>242</v>
      </c>
      <c r="CO97" s="231"/>
      <c r="CP97" s="232"/>
      <c r="CQ97" s="70">
        <v>556</v>
      </c>
      <c r="CR97" s="231"/>
      <c r="CS97" s="232"/>
      <c r="CT97" s="70">
        <v>661</v>
      </c>
      <c r="CU97" s="231"/>
      <c r="CV97" s="232"/>
      <c r="CW97" s="70">
        <v>477</v>
      </c>
      <c r="CX97" s="231"/>
      <c r="CY97" s="232"/>
      <c r="CZ97" s="70">
        <v>540</v>
      </c>
      <c r="DA97" s="231"/>
      <c r="DB97" s="232"/>
      <c r="DC97" s="103">
        <v>672</v>
      </c>
      <c r="DD97" s="272"/>
      <c r="DF97" s="70" t="e">
        <f>CN97+CQ97+CT97+CW97+CZ97+#REF!</f>
        <v>#REF!</v>
      </c>
      <c r="DG97" s="268"/>
      <c r="DH97" s="103">
        <v>921</v>
      </c>
      <c r="DI97" s="272"/>
      <c r="DK97" s="103">
        <v>441</v>
      </c>
      <c r="DL97" s="272"/>
      <c r="DM97" s="108">
        <v>280</v>
      </c>
      <c r="DN97" s="272"/>
    </row>
    <row r="98" spans="1:118" ht="37.5" hidden="1" customHeight="1" x14ac:dyDescent="0.2">
      <c r="A98" s="195" t="s">
        <v>151</v>
      </c>
      <c r="B98" s="69" t="s">
        <v>152</v>
      </c>
      <c r="C98" s="70">
        <f>+C99*4</f>
        <v>824</v>
      </c>
      <c r="D98" s="248">
        <f>+C98/C99</f>
        <v>4</v>
      </c>
      <c r="E98" s="71"/>
      <c r="F98" s="70">
        <v>0</v>
      </c>
      <c r="G98" s="248" t="e">
        <f>+F98/F99</f>
        <v>#DIV/0!</v>
      </c>
      <c r="H98" s="71"/>
      <c r="I98" s="70">
        <v>0</v>
      </c>
      <c r="J98" s="248" t="e">
        <f>+I98/I99</f>
        <v>#DIV/0!</v>
      </c>
      <c r="K98" s="71"/>
      <c r="L98" s="70"/>
      <c r="M98" s="248" t="e">
        <f>+L98/L99</f>
        <v>#DIV/0!</v>
      </c>
      <c r="N98" s="242"/>
      <c r="O98" s="70">
        <v>0</v>
      </c>
      <c r="P98" s="248">
        <v>0</v>
      </c>
      <c r="Q98" s="242"/>
      <c r="R98" s="70">
        <v>0</v>
      </c>
      <c r="S98" s="248">
        <v>0</v>
      </c>
      <c r="T98" s="198" t="s">
        <v>175</v>
      </c>
      <c r="U98" s="70">
        <v>0</v>
      </c>
      <c r="V98" s="248">
        <v>0</v>
      </c>
      <c r="W98" s="198" t="s">
        <v>175</v>
      </c>
      <c r="X98" s="70">
        <v>0</v>
      </c>
      <c r="Y98" s="248">
        <v>0</v>
      </c>
      <c r="Z98" s="198" t="s">
        <v>175</v>
      </c>
      <c r="AA98" s="70">
        <v>0</v>
      </c>
      <c r="AB98" s="248">
        <v>0</v>
      </c>
      <c r="AC98" s="198"/>
      <c r="AD98" s="70">
        <v>0</v>
      </c>
      <c r="AE98" s="248">
        <v>0</v>
      </c>
      <c r="AF98" s="198"/>
      <c r="AG98" s="70">
        <v>0</v>
      </c>
      <c r="AH98" s="248">
        <v>0</v>
      </c>
      <c r="AI98" s="198"/>
      <c r="AJ98" s="70">
        <v>0</v>
      </c>
      <c r="AK98" s="248">
        <v>0</v>
      </c>
      <c r="AL98" s="198"/>
      <c r="AM98" s="70">
        <v>0</v>
      </c>
      <c r="AN98" s="248">
        <v>0</v>
      </c>
      <c r="AO98" s="198" t="s">
        <v>196</v>
      </c>
      <c r="AP98" s="70">
        <v>0</v>
      </c>
      <c r="AQ98" s="248">
        <v>0</v>
      </c>
      <c r="AR98" s="198" t="s">
        <v>196</v>
      </c>
      <c r="AS98" s="70">
        <v>0</v>
      </c>
      <c r="AT98" s="248">
        <v>0</v>
      </c>
      <c r="AU98" s="198" t="s">
        <v>196</v>
      </c>
      <c r="AV98" s="70">
        <v>0</v>
      </c>
      <c r="AW98" s="248">
        <v>0</v>
      </c>
      <c r="AX98" s="198" t="s">
        <v>196</v>
      </c>
      <c r="AY98" s="70">
        <v>0</v>
      </c>
      <c r="AZ98" s="248">
        <v>0</v>
      </c>
      <c r="BA98" s="198" t="s">
        <v>196</v>
      </c>
      <c r="BB98" s="70">
        <v>0</v>
      </c>
      <c r="BC98" s="248">
        <v>0</v>
      </c>
      <c r="BD98" s="198" t="s">
        <v>196</v>
      </c>
      <c r="BE98" s="70">
        <v>0</v>
      </c>
      <c r="BF98" s="248">
        <v>0</v>
      </c>
      <c r="BG98" s="198" t="s">
        <v>196</v>
      </c>
      <c r="BH98" s="70">
        <v>0</v>
      </c>
      <c r="BI98" s="248">
        <v>0</v>
      </c>
      <c r="BJ98" s="198" t="s">
        <v>196</v>
      </c>
      <c r="BK98" s="70">
        <v>0</v>
      </c>
      <c r="BL98" s="248">
        <v>0</v>
      </c>
      <c r="BM98" s="198" t="s">
        <v>196</v>
      </c>
      <c r="BN98" s="70">
        <v>0</v>
      </c>
      <c r="BO98" s="248">
        <v>0</v>
      </c>
      <c r="BP98" s="198" t="s">
        <v>196</v>
      </c>
      <c r="BQ98" s="70">
        <v>0</v>
      </c>
      <c r="BR98" s="248">
        <v>0</v>
      </c>
      <c r="BS98" s="198" t="s">
        <v>196</v>
      </c>
      <c r="BT98" s="70">
        <f t="shared" si="33"/>
        <v>0</v>
      </c>
      <c r="BU98" s="70" t="s">
        <v>47</v>
      </c>
      <c r="BV98" s="242" t="s">
        <v>47</v>
      </c>
      <c r="BW98" s="198" t="s">
        <v>175</v>
      </c>
      <c r="BX98" s="70" t="s">
        <v>47</v>
      </c>
      <c r="BY98" s="242" t="s">
        <v>47</v>
      </c>
      <c r="BZ98" s="198" t="s">
        <v>175</v>
      </c>
      <c r="CA98" s="70" t="s">
        <v>47</v>
      </c>
      <c r="CB98" s="242" t="s">
        <v>47</v>
      </c>
      <c r="CC98" s="198" t="s">
        <v>175</v>
      </c>
      <c r="CD98" s="70">
        <v>0</v>
      </c>
      <c r="CE98" s="242" t="s">
        <v>47</v>
      </c>
      <c r="CF98" s="198" t="s">
        <v>175</v>
      </c>
      <c r="CG98" s="70">
        <v>0</v>
      </c>
      <c r="CH98" s="242" t="s">
        <v>47</v>
      </c>
      <c r="CI98" s="198" t="s">
        <v>196</v>
      </c>
      <c r="CJ98" s="70">
        <v>0</v>
      </c>
      <c r="CK98" s="242" t="s">
        <v>47</v>
      </c>
      <c r="CL98" s="198" t="s">
        <v>196</v>
      </c>
      <c r="CM98" s="70" t="e">
        <f t="shared" si="34"/>
        <v>#VALUE!</v>
      </c>
      <c r="CN98" s="70"/>
      <c r="CO98" s="230"/>
      <c r="CP98" s="232"/>
      <c r="CQ98" s="70"/>
      <c r="CR98" s="230"/>
      <c r="CS98" s="232"/>
      <c r="CT98" s="70"/>
      <c r="CU98" s="230"/>
      <c r="CV98" s="232"/>
      <c r="CW98" s="70"/>
      <c r="CX98" s="230"/>
      <c r="CY98" s="232"/>
      <c r="CZ98" s="70"/>
      <c r="DA98" s="230"/>
      <c r="DB98" s="232"/>
      <c r="DC98" s="70"/>
      <c r="DF98" s="70">
        <f t="shared" si="35"/>
        <v>0</v>
      </c>
      <c r="DG98" s="267" t="e">
        <f t="shared" ref="DG98" si="49">DF98/DF99</f>
        <v>#DIV/0!</v>
      </c>
      <c r="DH98" s="70"/>
      <c r="DK98" s="103"/>
      <c r="DM98" s="108"/>
    </row>
    <row r="99" spans="1:118" ht="29.25" hidden="1" customHeight="1" x14ac:dyDescent="0.2">
      <c r="A99" s="195"/>
      <c r="B99" s="69" t="s">
        <v>153</v>
      </c>
      <c r="C99" s="70">
        <v>206</v>
      </c>
      <c r="D99" s="249"/>
      <c r="E99" s="71"/>
      <c r="F99" s="70">
        <v>0</v>
      </c>
      <c r="G99" s="249"/>
      <c r="H99" s="71"/>
      <c r="I99" s="70">
        <v>0</v>
      </c>
      <c r="J99" s="249"/>
      <c r="K99" s="71"/>
      <c r="L99" s="70"/>
      <c r="M99" s="249"/>
      <c r="N99" s="243"/>
      <c r="O99" s="70">
        <v>0</v>
      </c>
      <c r="P99" s="249"/>
      <c r="Q99" s="243"/>
      <c r="R99" s="70">
        <v>0</v>
      </c>
      <c r="S99" s="249"/>
      <c r="T99" s="199"/>
      <c r="U99" s="70">
        <v>0</v>
      </c>
      <c r="V99" s="249"/>
      <c r="W99" s="199"/>
      <c r="X99" s="70">
        <v>0</v>
      </c>
      <c r="Y99" s="249"/>
      <c r="Z99" s="199"/>
      <c r="AA99" s="70">
        <v>0</v>
      </c>
      <c r="AB99" s="249"/>
      <c r="AC99" s="199"/>
      <c r="AD99" s="70">
        <v>0</v>
      </c>
      <c r="AE99" s="249"/>
      <c r="AF99" s="199"/>
      <c r="AG99" s="70">
        <v>0</v>
      </c>
      <c r="AH99" s="249"/>
      <c r="AI99" s="199"/>
      <c r="AJ99" s="70">
        <v>0</v>
      </c>
      <c r="AK99" s="249"/>
      <c r="AL99" s="199"/>
      <c r="AM99" s="70">
        <v>0</v>
      </c>
      <c r="AN99" s="249"/>
      <c r="AO99" s="199"/>
      <c r="AP99" s="70">
        <v>0</v>
      </c>
      <c r="AQ99" s="249"/>
      <c r="AR99" s="199"/>
      <c r="AS99" s="70">
        <v>0</v>
      </c>
      <c r="AT99" s="249"/>
      <c r="AU99" s="199"/>
      <c r="AV99" s="70">
        <v>0</v>
      </c>
      <c r="AW99" s="249"/>
      <c r="AX99" s="199"/>
      <c r="AY99" s="70">
        <v>0</v>
      </c>
      <c r="AZ99" s="249"/>
      <c r="BA99" s="199"/>
      <c r="BB99" s="70">
        <v>0</v>
      </c>
      <c r="BC99" s="249"/>
      <c r="BD99" s="199"/>
      <c r="BE99" s="70">
        <v>0</v>
      </c>
      <c r="BF99" s="249"/>
      <c r="BG99" s="199"/>
      <c r="BH99" s="70">
        <v>0</v>
      </c>
      <c r="BI99" s="249"/>
      <c r="BJ99" s="199"/>
      <c r="BK99" s="70">
        <v>0</v>
      </c>
      <c r="BL99" s="249"/>
      <c r="BM99" s="199"/>
      <c r="BN99" s="70">
        <v>0</v>
      </c>
      <c r="BO99" s="249"/>
      <c r="BP99" s="199"/>
      <c r="BQ99" s="70">
        <v>0</v>
      </c>
      <c r="BR99" s="249"/>
      <c r="BS99" s="199"/>
      <c r="BT99" s="70">
        <f t="shared" si="33"/>
        <v>0</v>
      </c>
      <c r="BU99" s="70" t="s">
        <v>47</v>
      </c>
      <c r="BV99" s="243"/>
      <c r="BW99" s="199"/>
      <c r="BX99" s="70" t="s">
        <v>47</v>
      </c>
      <c r="BY99" s="243"/>
      <c r="BZ99" s="199"/>
      <c r="CA99" s="70" t="s">
        <v>47</v>
      </c>
      <c r="CB99" s="243"/>
      <c r="CC99" s="199"/>
      <c r="CD99" s="70">
        <v>0</v>
      </c>
      <c r="CE99" s="243"/>
      <c r="CF99" s="199"/>
      <c r="CG99" s="70">
        <v>0</v>
      </c>
      <c r="CH99" s="243"/>
      <c r="CI99" s="199"/>
      <c r="CJ99" s="70">
        <v>0</v>
      </c>
      <c r="CK99" s="243"/>
      <c r="CL99" s="199"/>
      <c r="CM99" s="70" t="e">
        <f t="shared" si="34"/>
        <v>#VALUE!</v>
      </c>
      <c r="CN99" s="70"/>
      <c r="CO99" s="231"/>
      <c r="CP99" s="232"/>
      <c r="CQ99" s="70"/>
      <c r="CR99" s="231"/>
      <c r="CS99" s="232"/>
      <c r="CT99" s="70"/>
      <c r="CU99" s="231"/>
      <c r="CV99" s="232"/>
      <c r="CW99" s="70"/>
      <c r="CX99" s="231"/>
      <c r="CY99" s="232"/>
      <c r="CZ99" s="70"/>
      <c r="DA99" s="231"/>
      <c r="DB99" s="232"/>
      <c r="DC99" s="70"/>
      <c r="DF99" s="70">
        <f t="shared" si="35"/>
        <v>0</v>
      </c>
      <c r="DG99" s="268"/>
      <c r="DH99" s="70"/>
      <c r="DK99" s="103"/>
      <c r="DM99" s="108"/>
    </row>
    <row r="100" spans="1:118" ht="87" customHeight="1" x14ac:dyDescent="0.2">
      <c r="A100" s="195" t="s">
        <v>154</v>
      </c>
      <c r="B100" s="69" t="s">
        <v>155</v>
      </c>
      <c r="C100" s="75">
        <f>41*6829</f>
        <v>279989</v>
      </c>
      <c r="D100" s="248">
        <f>+C100/C101</f>
        <v>41</v>
      </c>
      <c r="E100" s="71"/>
      <c r="F100" s="75">
        <v>34020</v>
      </c>
      <c r="G100" s="248">
        <f>+F100/F101</f>
        <v>28</v>
      </c>
      <c r="H100" s="71"/>
      <c r="I100" s="75">
        <v>67896</v>
      </c>
      <c r="J100" s="248">
        <f>+I100/I101</f>
        <v>69</v>
      </c>
      <c r="K100" s="71"/>
      <c r="L100" s="75">
        <f>+L101*76</f>
        <v>82156</v>
      </c>
      <c r="M100" s="248">
        <f>+L100/L101</f>
        <v>76</v>
      </c>
      <c r="N100" s="242"/>
      <c r="O100" s="75">
        <f>+O101*73</f>
        <v>78548</v>
      </c>
      <c r="P100" s="248">
        <f>+O100/O101</f>
        <v>73</v>
      </c>
      <c r="Q100" s="242"/>
      <c r="R100" s="75">
        <v>78548</v>
      </c>
      <c r="S100" s="248">
        <f>+R100/R101</f>
        <v>56.428160919540232</v>
      </c>
      <c r="T100" s="242"/>
      <c r="U100" s="75">
        <f>+U101*40</f>
        <v>49440</v>
      </c>
      <c r="V100" s="248">
        <f>+U100/U101</f>
        <v>40</v>
      </c>
      <c r="W100" s="242"/>
      <c r="X100" s="75">
        <f>+X101*29</f>
        <v>39817</v>
      </c>
      <c r="Y100" s="248">
        <f>+X100/X101</f>
        <v>29</v>
      </c>
      <c r="Z100" s="242"/>
      <c r="AA100" s="75">
        <f>+AA101*30</f>
        <v>34740</v>
      </c>
      <c r="AB100" s="248">
        <f>+AA100/AA101</f>
        <v>30</v>
      </c>
      <c r="AC100" s="242"/>
      <c r="AD100" s="75">
        <f>+AD101*28</f>
        <v>36288</v>
      </c>
      <c r="AE100" s="248">
        <f>+AD100/AD101</f>
        <v>28</v>
      </c>
      <c r="AF100" s="242"/>
      <c r="AG100" s="75">
        <f>+AG101*70</f>
        <v>74900</v>
      </c>
      <c r="AH100" s="248">
        <f>+AG100/AG101</f>
        <v>70</v>
      </c>
      <c r="AI100" s="242"/>
      <c r="AJ100" s="75">
        <f>+AJ101*89</f>
        <v>89089</v>
      </c>
      <c r="AK100" s="248">
        <f>+AJ100/AJ101</f>
        <v>89</v>
      </c>
      <c r="AL100" s="242"/>
      <c r="AM100" s="75">
        <v>1443</v>
      </c>
      <c r="AN100" s="248">
        <f>+AM100/AM101</f>
        <v>1.4301288404360752</v>
      </c>
      <c r="AO100" s="242"/>
      <c r="AP100" s="75">
        <v>76178</v>
      </c>
      <c r="AQ100" s="248">
        <f>+AP100/AP101</f>
        <v>82</v>
      </c>
      <c r="AR100" s="242"/>
      <c r="AS100" s="75">
        <v>43050</v>
      </c>
      <c r="AT100" s="248">
        <f>+AS100/AS101</f>
        <v>50</v>
      </c>
      <c r="AU100" s="242"/>
      <c r="AV100" s="75">
        <f>+AV101*73</f>
        <v>55115</v>
      </c>
      <c r="AW100" s="248">
        <f>+AV100/AV101</f>
        <v>73</v>
      </c>
      <c r="AX100" s="242"/>
      <c r="AY100" s="75">
        <f>+AY101*66</f>
        <v>48444</v>
      </c>
      <c r="AZ100" s="248">
        <f>+AY100/AY101</f>
        <v>66</v>
      </c>
      <c r="BA100" s="242"/>
      <c r="BB100" s="75">
        <v>44454</v>
      </c>
      <c r="BC100" s="248">
        <f>+BB100/BB101</f>
        <v>62</v>
      </c>
      <c r="BD100" s="242"/>
      <c r="BE100" s="75">
        <f>+BE101*68</f>
        <v>48348</v>
      </c>
      <c r="BF100" s="248">
        <f>+BE100/BE101</f>
        <v>68</v>
      </c>
      <c r="BG100" s="242"/>
      <c r="BH100" s="75">
        <v>44652</v>
      </c>
      <c r="BI100" s="248">
        <f>+BH100/BH101</f>
        <v>61</v>
      </c>
      <c r="BJ100" s="242"/>
      <c r="BK100" s="75">
        <v>45312</v>
      </c>
      <c r="BL100" s="248">
        <f>+BK100/BK101</f>
        <v>59</v>
      </c>
      <c r="BM100" s="242"/>
      <c r="BN100" s="75">
        <v>46197</v>
      </c>
      <c r="BO100" s="248">
        <f>+BN100/BN101</f>
        <v>59</v>
      </c>
      <c r="BP100" s="242"/>
      <c r="BQ100" s="75">
        <v>44191</v>
      </c>
      <c r="BR100" s="248">
        <f>+BQ100/BQ101</f>
        <v>59</v>
      </c>
      <c r="BS100" s="242"/>
      <c r="BT100" s="75">
        <f t="shared" si="33"/>
        <v>273154</v>
      </c>
      <c r="BU100" s="75">
        <f>BU101*57</f>
        <v>35055</v>
      </c>
      <c r="BV100" s="242">
        <f>BU100/BU101</f>
        <v>57</v>
      </c>
      <c r="BW100" s="198" t="s">
        <v>247</v>
      </c>
      <c r="BX100" s="70">
        <f>743*72</f>
        <v>53496</v>
      </c>
      <c r="BY100" s="242">
        <f>BX100/BX101</f>
        <v>72</v>
      </c>
      <c r="BZ100" s="198" t="s">
        <v>247</v>
      </c>
      <c r="CA100" s="70">
        <f>CA101*74</f>
        <v>44178</v>
      </c>
      <c r="CB100" s="242">
        <f>CA100/CA101</f>
        <v>74</v>
      </c>
      <c r="CC100" s="198" t="s">
        <v>247</v>
      </c>
      <c r="CD100" s="70">
        <v>40824</v>
      </c>
      <c r="CE100" s="242">
        <f>CD100/CD101</f>
        <v>63</v>
      </c>
      <c r="CF100" s="198" t="s">
        <v>247</v>
      </c>
      <c r="CG100" s="70">
        <v>48006</v>
      </c>
      <c r="CH100" s="242">
        <f>CG100/CG101</f>
        <v>63</v>
      </c>
      <c r="CI100" s="198" t="s">
        <v>247</v>
      </c>
      <c r="CJ100" s="70">
        <v>41076</v>
      </c>
      <c r="CK100" s="242">
        <f>CJ100/CJ101</f>
        <v>63</v>
      </c>
      <c r="CL100" s="198" t="s">
        <v>247</v>
      </c>
      <c r="CM100" s="70">
        <f t="shared" si="34"/>
        <v>262635</v>
      </c>
      <c r="CN100" s="70">
        <v>17277</v>
      </c>
      <c r="CO100" s="230">
        <f>CN100/CN101</f>
        <v>39</v>
      </c>
      <c r="CP100" s="232" t="s">
        <v>367</v>
      </c>
      <c r="CQ100" s="70">
        <v>36642</v>
      </c>
      <c r="CR100" s="230">
        <f>CQ100/CQ101</f>
        <v>62</v>
      </c>
      <c r="CS100" s="232" t="s">
        <v>368</v>
      </c>
      <c r="CT100" s="70">
        <v>45695</v>
      </c>
      <c r="CU100" s="230">
        <f>CT100/CT101</f>
        <v>65</v>
      </c>
      <c r="CV100" s="232" t="s">
        <v>396</v>
      </c>
      <c r="CW100" s="70">
        <v>25380</v>
      </c>
      <c r="CX100" s="248">
        <f>CW100/CW101</f>
        <v>41.53846153846154</v>
      </c>
      <c r="CY100" s="232" t="s">
        <v>429</v>
      </c>
      <c r="CZ100" s="80">
        <v>22558</v>
      </c>
      <c r="DA100" s="248">
        <f>CZ100/CZ101</f>
        <v>30.901369863013699</v>
      </c>
      <c r="DB100" s="232" t="s">
        <v>463</v>
      </c>
      <c r="DC100" s="80">
        <v>44612</v>
      </c>
      <c r="DD100" s="248">
        <f>DC100/DC101</f>
        <v>47.918367346938773</v>
      </c>
      <c r="DF100" s="70">
        <f t="shared" si="35"/>
        <v>192164</v>
      </c>
      <c r="DG100" s="267">
        <f t="shared" ref="DG100" si="50">DF100/DF101</f>
        <v>47.933150411573962</v>
      </c>
      <c r="DH100" s="106">
        <v>61485</v>
      </c>
      <c r="DI100" s="248">
        <f>+DH100/DH101</f>
        <v>54.219576719576722</v>
      </c>
      <c r="DK100" s="113">
        <v>51485.619999999995</v>
      </c>
      <c r="DL100" s="225">
        <f>+DK100/DK101</f>
        <v>56.33</v>
      </c>
      <c r="DM100" s="116">
        <v>36585</v>
      </c>
      <c r="DN100" s="225">
        <f>+DM100/DM101</f>
        <v>45</v>
      </c>
    </row>
    <row r="101" spans="1:118" ht="93.75" customHeight="1" x14ac:dyDescent="0.2">
      <c r="A101" s="195"/>
      <c r="B101" s="69" t="s">
        <v>156</v>
      </c>
      <c r="C101" s="75">
        <v>6829</v>
      </c>
      <c r="D101" s="249"/>
      <c r="E101" s="71"/>
      <c r="F101" s="75">
        <v>1215</v>
      </c>
      <c r="G101" s="249"/>
      <c r="H101" s="71"/>
      <c r="I101" s="75">
        <v>984</v>
      </c>
      <c r="J101" s="249"/>
      <c r="K101" s="71"/>
      <c r="L101" s="75">
        <v>1081</v>
      </c>
      <c r="M101" s="249"/>
      <c r="N101" s="243"/>
      <c r="O101" s="75">
        <v>1076</v>
      </c>
      <c r="P101" s="249"/>
      <c r="Q101" s="243"/>
      <c r="R101" s="75">
        <v>1392</v>
      </c>
      <c r="S101" s="249"/>
      <c r="T101" s="243"/>
      <c r="U101" s="75">
        <v>1236</v>
      </c>
      <c r="V101" s="249"/>
      <c r="W101" s="243"/>
      <c r="X101" s="75">
        <v>1373</v>
      </c>
      <c r="Y101" s="249"/>
      <c r="Z101" s="243"/>
      <c r="AA101" s="75">
        <v>1158</v>
      </c>
      <c r="AB101" s="249"/>
      <c r="AC101" s="243"/>
      <c r="AD101" s="75">
        <v>1296</v>
      </c>
      <c r="AE101" s="249"/>
      <c r="AF101" s="243"/>
      <c r="AG101" s="75">
        <v>1070</v>
      </c>
      <c r="AH101" s="249"/>
      <c r="AI101" s="243"/>
      <c r="AJ101" s="75">
        <v>1001</v>
      </c>
      <c r="AK101" s="249"/>
      <c r="AL101" s="243"/>
      <c r="AM101" s="75">
        <v>1009</v>
      </c>
      <c r="AN101" s="249"/>
      <c r="AO101" s="243"/>
      <c r="AP101" s="75">
        <v>929</v>
      </c>
      <c r="AQ101" s="249"/>
      <c r="AR101" s="243"/>
      <c r="AS101" s="75">
        <v>861</v>
      </c>
      <c r="AT101" s="249"/>
      <c r="AU101" s="243"/>
      <c r="AV101" s="75">
        <v>755</v>
      </c>
      <c r="AW101" s="249"/>
      <c r="AX101" s="243"/>
      <c r="AY101" s="75">
        <v>734</v>
      </c>
      <c r="AZ101" s="249"/>
      <c r="BA101" s="243"/>
      <c r="BB101" s="75">
        <v>717</v>
      </c>
      <c r="BC101" s="249"/>
      <c r="BD101" s="243"/>
      <c r="BE101" s="75">
        <v>711</v>
      </c>
      <c r="BF101" s="249"/>
      <c r="BG101" s="243"/>
      <c r="BH101" s="75">
        <v>732</v>
      </c>
      <c r="BI101" s="249"/>
      <c r="BJ101" s="243"/>
      <c r="BK101" s="75">
        <v>768</v>
      </c>
      <c r="BL101" s="249"/>
      <c r="BM101" s="243"/>
      <c r="BN101" s="75">
        <v>783</v>
      </c>
      <c r="BO101" s="249"/>
      <c r="BP101" s="243"/>
      <c r="BQ101" s="75">
        <v>749</v>
      </c>
      <c r="BR101" s="249"/>
      <c r="BS101" s="243"/>
      <c r="BT101" s="75">
        <f t="shared" si="33"/>
        <v>4460</v>
      </c>
      <c r="BU101" s="75">
        <v>615</v>
      </c>
      <c r="BV101" s="243"/>
      <c r="BW101" s="199"/>
      <c r="BX101" s="70">
        <v>743</v>
      </c>
      <c r="BY101" s="243"/>
      <c r="BZ101" s="199"/>
      <c r="CA101" s="70">
        <v>597</v>
      </c>
      <c r="CB101" s="243"/>
      <c r="CC101" s="199"/>
      <c r="CD101" s="70">
        <v>648</v>
      </c>
      <c r="CE101" s="243"/>
      <c r="CF101" s="199"/>
      <c r="CG101" s="70">
        <v>762</v>
      </c>
      <c r="CH101" s="243"/>
      <c r="CI101" s="199"/>
      <c r="CJ101" s="70">
        <v>652</v>
      </c>
      <c r="CK101" s="243"/>
      <c r="CL101" s="199"/>
      <c r="CM101" s="70">
        <f t="shared" si="34"/>
        <v>4017</v>
      </c>
      <c r="CN101" s="70">
        <v>443</v>
      </c>
      <c r="CO101" s="231"/>
      <c r="CP101" s="232"/>
      <c r="CQ101" s="70">
        <v>591</v>
      </c>
      <c r="CR101" s="231"/>
      <c r="CS101" s="232"/>
      <c r="CT101" s="70">
        <v>703</v>
      </c>
      <c r="CU101" s="231"/>
      <c r="CV101" s="232"/>
      <c r="CW101" s="70">
        <v>611</v>
      </c>
      <c r="CX101" s="249"/>
      <c r="CY101" s="232"/>
      <c r="CZ101" s="81">
        <v>730</v>
      </c>
      <c r="DA101" s="249"/>
      <c r="DB101" s="232"/>
      <c r="DC101" s="81">
        <v>931</v>
      </c>
      <c r="DD101" s="249"/>
      <c r="DF101" s="70">
        <f t="shared" si="35"/>
        <v>4009</v>
      </c>
      <c r="DG101" s="268"/>
      <c r="DH101" s="107">
        <v>1134</v>
      </c>
      <c r="DI101" s="249"/>
      <c r="DK101" s="112">
        <v>914</v>
      </c>
      <c r="DL101" s="225"/>
      <c r="DM101" s="114">
        <v>813</v>
      </c>
      <c r="DN101" s="225"/>
    </row>
    <row r="102" spans="1:118" ht="62.25" customHeight="1" x14ac:dyDescent="0.2">
      <c r="A102" s="195" t="s">
        <v>157</v>
      </c>
      <c r="B102" s="69" t="s">
        <v>158</v>
      </c>
      <c r="C102" s="76">
        <v>466</v>
      </c>
      <c r="D102" s="248">
        <f>+C102/C103</f>
        <v>8.7924528301886795</v>
      </c>
      <c r="E102" s="71"/>
      <c r="F102" s="76">
        <v>16</v>
      </c>
      <c r="G102" s="248">
        <f>+F102/F103</f>
        <v>16</v>
      </c>
      <c r="H102" s="71"/>
      <c r="I102" s="76">
        <v>40</v>
      </c>
      <c r="J102" s="248">
        <f>+I102/I103</f>
        <v>10</v>
      </c>
      <c r="K102" s="71"/>
      <c r="L102" s="76">
        <f>25*L103</f>
        <v>200</v>
      </c>
      <c r="M102" s="248">
        <f>+L102/L103</f>
        <v>25</v>
      </c>
      <c r="N102" s="242"/>
      <c r="O102" s="76">
        <f>+O103*42</f>
        <v>672</v>
      </c>
      <c r="P102" s="248">
        <f>+O102/O103</f>
        <v>42</v>
      </c>
      <c r="Q102" s="242"/>
      <c r="R102" s="76">
        <v>52</v>
      </c>
      <c r="S102" s="248">
        <f>+R102/R103</f>
        <v>10.4</v>
      </c>
      <c r="T102" s="242"/>
      <c r="U102" s="76">
        <v>115</v>
      </c>
      <c r="V102" s="248">
        <f>+U102/U103</f>
        <v>8.8461538461538467</v>
      </c>
      <c r="W102" s="242"/>
      <c r="X102" s="76">
        <f>13.2*X103</f>
        <v>105.6</v>
      </c>
      <c r="Y102" s="248">
        <f>+X102/X103</f>
        <v>13.2</v>
      </c>
      <c r="Z102" s="242"/>
      <c r="AA102" s="76">
        <f>11*AA103</f>
        <v>11</v>
      </c>
      <c r="AB102" s="230">
        <f>+AA102/AA103</f>
        <v>11</v>
      </c>
      <c r="AC102" s="242"/>
      <c r="AD102" s="76">
        <f>14*AD103</f>
        <v>98</v>
      </c>
      <c r="AE102" s="248">
        <f>+AD102/AD103</f>
        <v>14</v>
      </c>
      <c r="AF102" s="242"/>
      <c r="AG102" s="76">
        <f>+AG103*23</f>
        <v>161</v>
      </c>
      <c r="AH102" s="248">
        <f>+AG102/AG103</f>
        <v>23</v>
      </c>
      <c r="AI102" s="242"/>
      <c r="AJ102" s="76">
        <f>+AJ103*20</f>
        <v>220</v>
      </c>
      <c r="AK102" s="248">
        <f>+AJ102/AJ103</f>
        <v>20</v>
      </c>
      <c r="AL102" s="242"/>
      <c r="AM102" s="76">
        <v>173</v>
      </c>
      <c r="AN102" s="248">
        <f>+AM102/AM103</f>
        <v>86.5</v>
      </c>
      <c r="AO102" s="242"/>
      <c r="AP102" s="76">
        <v>54</v>
      </c>
      <c r="AQ102" s="248">
        <f>+AP102/AP103</f>
        <v>18</v>
      </c>
      <c r="AR102" s="242"/>
      <c r="AS102" s="76">
        <v>37</v>
      </c>
      <c r="AT102" s="248">
        <f>+AS102/AS103</f>
        <v>12.333333333333334</v>
      </c>
      <c r="AU102" s="242"/>
      <c r="AV102" s="76">
        <v>222</v>
      </c>
      <c r="AW102" s="248">
        <f>+AV102/AV103</f>
        <v>37</v>
      </c>
      <c r="AX102" s="242"/>
      <c r="AY102" s="76">
        <v>416</v>
      </c>
      <c r="AZ102" s="248">
        <f>+AY102/AY103</f>
        <v>69.333333333333329</v>
      </c>
      <c r="BA102" s="242"/>
      <c r="BB102" s="76">
        <v>0</v>
      </c>
      <c r="BC102" s="248" t="e">
        <f>+BB102/BB103</f>
        <v>#DIV/0!</v>
      </c>
      <c r="BD102" s="198" t="s">
        <v>221</v>
      </c>
      <c r="BE102" s="76">
        <v>212</v>
      </c>
      <c r="BF102" s="248">
        <f>+BE102/BE103</f>
        <v>30.285714285714285</v>
      </c>
      <c r="BG102" s="198"/>
      <c r="BH102" s="76">
        <v>338</v>
      </c>
      <c r="BI102" s="248">
        <f>+BH102/BH103</f>
        <v>56.333333333333336</v>
      </c>
      <c r="BJ102" s="198"/>
      <c r="BK102" s="76">
        <v>457</v>
      </c>
      <c r="BL102" s="248">
        <f>+BK102/BK103</f>
        <v>25.388888888888889</v>
      </c>
      <c r="BM102" s="198"/>
      <c r="BN102" s="76">
        <v>71</v>
      </c>
      <c r="BO102" s="248">
        <f>+BN102/BN103</f>
        <v>11.833333333333334</v>
      </c>
      <c r="BP102" s="198"/>
      <c r="BQ102" s="76">
        <v>124</v>
      </c>
      <c r="BR102" s="248">
        <f>+BQ102/BQ103</f>
        <v>12.4</v>
      </c>
      <c r="BS102" s="198"/>
      <c r="BT102" s="76">
        <f t="shared" si="33"/>
        <v>1202</v>
      </c>
      <c r="BU102" s="76">
        <f>+BU103*7.5</f>
        <v>52.5</v>
      </c>
      <c r="BV102" s="230">
        <f>BU102/BU103</f>
        <v>7.5</v>
      </c>
      <c r="BW102" s="198" t="s">
        <v>246</v>
      </c>
      <c r="BX102" s="76">
        <v>320</v>
      </c>
      <c r="BY102" s="230">
        <f>BX102/BX103</f>
        <v>29.09090909090909</v>
      </c>
      <c r="BZ102" s="198" t="s">
        <v>246</v>
      </c>
      <c r="CA102" s="76">
        <v>423</v>
      </c>
      <c r="CB102" s="230">
        <f>CA102/CA103</f>
        <v>26.4375</v>
      </c>
      <c r="CC102" s="198" t="s">
        <v>246</v>
      </c>
      <c r="CD102" s="76">
        <v>176</v>
      </c>
      <c r="CE102" s="230">
        <f>CD102/CD103</f>
        <v>16</v>
      </c>
      <c r="CF102" s="198" t="s">
        <v>246</v>
      </c>
      <c r="CG102" s="76">
        <v>216</v>
      </c>
      <c r="CH102" s="230">
        <f>CG102/CG103</f>
        <v>18</v>
      </c>
      <c r="CI102" s="198" t="s">
        <v>246</v>
      </c>
      <c r="CJ102" s="76">
        <v>86</v>
      </c>
      <c r="CK102" s="230">
        <f>CJ102/CJ103</f>
        <v>14.333333333333334</v>
      </c>
      <c r="CL102" s="198" t="s">
        <v>246</v>
      </c>
      <c r="CM102" s="76">
        <f t="shared" si="34"/>
        <v>1273.5</v>
      </c>
      <c r="CN102" s="70">
        <v>0</v>
      </c>
      <c r="CO102" s="230">
        <v>0</v>
      </c>
      <c r="CP102" s="232" t="s">
        <v>352</v>
      </c>
      <c r="CQ102" s="70">
        <v>0</v>
      </c>
      <c r="CR102" s="230">
        <v>0</v>
      </c>
      <c r="CS102" s="232" t="s">
        <v>369</v>
      </c>
      <c r="CT102" s="70">
        <v>0</v>
      </c>
      <c r="CU102" s="230">
        <v>0</v>
      </c>
      <c r="CV102" s="232" t="s">
        <v>369</v>
      </c>
      <c r="CW102" s="70">
        <v>0</v>
      </c>
      <c r="CX102" s="230">
        <v>0</v>
      </c>
      <c r="CY102" s="232" t="s">
        <v>369</v>
      </c>
      <c r="CZ102" s="70">
        <v>0</v>
      </c>
      <c r="DA102" s="230">
        <v>0</v>
      </c>
      <c r="DB102" s="232" t="s">
        <v>461</v>
      </c>
      <c r="DC102" s="70">
        <v>0</v>
      </c>
      <c r="DD102" s="230">
        <v>0</v>
      </c>
      <c r="DF102" s="70">
        <f t="shared" si="35"/>
        <v>0</v>
      </c>
      <c r="DG102" s="267" t="e">
        <f t="shared" ref="DG102" si="51">DF102/DF103</f>
        <v>#DIV/0!</v>
      </c>
      <c r="DH102" s="70">
        <v>0</v>
      </c>
      <c r="DI102" s="230">
        <v>0</v>
      </c>
      <c r="DK102" s="103">
        <v>66</v>
      </c>
      <c r="DL102" s="230">
        <f>DK102/DK103</f>
        <v>6</v>
      </c>
      <c r="DM102" s="108">
        <v>58</v>
      </c>
      <c r="DN102" s="230">
        <f>DM102/DM103</f>
        <v>5.2727272727272725</v>
      </c>
    </row>
    <row r="103" spans="1:118" ht="22.5" customHeight="1" x14ac:dyDescent="0.2">
      <c r="A103" s="195"/>
      <c r="B103" s="69" t="s">
        <v>159</v>
      </c>
      <c r="C103" s="70">
        <v>53</v>
      </c>
      <c r="D103" s="249"/>
      <c r="E103" s="71"/>
      <c r="F103" s="70">
        <v>1</v>
      </c>
      <c r="G103" s="249"/>
      <c r="H103" s="71"/>
      <c r="I103" s="70">
        <v>4</v>
      </c>
      <c r="J103" s="249"/>
      <c r="K103" s="71"/>
      <c r="L103" s="70">
        <v>8</v>
      </c>
      <c r="M103" s="249"/>
      <c r="N103" s="243"/>
      <c r="O103" s="70">
        <v>16</v>
      </c>
      <c r="P103" s="249"/>
      <c r="Q103" s="243"/>
      <c r="R103" s="70">
        <v>5</v>
      </c>
      <c r="S103" s="249"/>
      <c r="T103" s="243"/>
      <c r="U103" s="70">
        <v>13</v>
      </c>
      <c r="V103" s="249"/>
      <c r="W103" s="243"/>
      <c r="X103" s="70">
        <v>8</v>
      </c>
      <c r="Y103" s="249"/>
      <c r="Z103" s="243"/>
      <c r="AA103" s="70">
        <v>1</v>
      </c>
      <c r="AB103" s="231"/>
      <c r="AC103" s="243"/>
      <c r="AD103" s="70">
        <v>7</v>
      </c>
      <c r="AE103" s="249"/>
      <c r="AF103" s="243"/>
      <c r="AG103" s="70">
        <v>7</v>
      </c>
      <c r="AH103" s="249"/>
      <c r="AI103" s="243"/>
      <c r="AJ103" s="70">
        <v>11</v>
      </c>
      <c r="AK103" s="249"/>
      <c r="AL103" s="243"/>
      <c r="AM103" s="70">
        <v>2</v>
      </c>
      <c r="AN103" s="249"/>
      <c r="AO103" s="243"/>
      <c r="AP103" s="70">
        <v>3</v>
      </c>
      <c r="AQ103" s="249"/>
      <c r="AR103" s="243"/>
      <c r="AS103" s="70">
        <v>3</v>
      </c>
      <c r="AT103" s="249"/>
      <c r="AU103" s="243"/>
      <c r="AV103" s="70">
        <v>6</v>
      </c>
      <c r="AW103" s="249"/>
      <c r="AX103" s="243"/>
      <c r="AY103" s="70">
        <v>6</v>
      </c>
      <c r="AZ103" s="249"/>
      <c r="BA103" s="243"/>
      <c r="BB103" s="70">
        <v>0</v>
      </c>
      <c r="BC103" s="249"/>
      <c r="BD103" s="199"/>
      <c r="BE103" s="70">
        <v>7</v>
      </c>
      <c r="BF103" s="249"/>
      <c r="BG103" s="199"/>
      <c r="BH103" s="70">
        <v>6</v>
      </c>
      <c r="BI103" s="249"/>
      <c r="BJ103" s="199"/>
      <c r="BK103" s="70">
        <v>18</v>
      </c>
      <c r="BL103" s="249"/>
      <c r="BM103" s="199"/>
      <c r="BN103" s="70">
        <v>6</v>
      </c>
      <c r="BO103" s="249"/>
      <c r="BP103" s="199"/>
      <c r="BQ103" s="70">
        <v>10</v>
      </c>
      <c r="BR103" s="249"/>
      <c r="BS103" s="199"/>
      <c r="BT103" s="70">
        <f t="shared" si="33"/>
        <v>47</v>
      </c>
      <c r="BU103" s="70">
        <v>7</v>
      </c>
      <c r="BV103" s="231"/>
      <c r="BW103" s="199"/>
      <c r="BX103" s="70">
        <v>11</v>
      </c>
      <c r="BY103" s="231"/>
      <c r="BZ103" s="199"/>
      <c r="CA103" s="70">
        <v>16</v>
      </c>
      <c r="CB103" s="231"/>
      <c r="CC103" s="199"/>
      <c r="CD103" s="70">
        <v>11</v>
      </c>
      <c r="CE103" s="231"/>
      <c r="CF103" s="199"/>
      <c r="CG103" s="70">
        <v>12</v>
      </c>
      <c r="CH103" s="231"/>
      <c r="CI103" s="199"/>
      <c r="CJ103" s="70">
        <v>6</v>
      </c>
      <c r="CK103" s="231"/>
      <c r="CL103" s="199"/>
      <c r="CM103" s="70">
        <f t="shared" si="34"/>
        <v>63</v>
      </c>
      <c r="CN103" s="70">
        <v>0</v>
      </c>
      <c r="CO103" s="231"/>
      <c r="CP103" s="232"/>
      <c r="CQ103" s="70">
        <v>0</v>
      </c>
      <c r="CR103" s="231"/>
      <c r="CS103" s="232"/>
      <c r="CT103" s="70">
        <v>0</v>
      </c>
      <c r="CU103" s="231"/>
      <c r="CV103" s="232"/>
      <c r="CW103" s="70">
        <v>0</v>
      </c>
      <c r="CX103" s="231"/>
      <c r="CY103" s="232"/>
      <c r="CZ103" s="70">
        <v>0</v>
      </c>
      <c r="DA103" s="231"/>
      <c r="DB103" s="232"/>
      <c r="DC103" s="70">
        <v>0</v>
      </c>
      <c r="DD103" s="231"/>
      <c r="DF103" s="70">
        <f t="shared" si="35"/>
        <v>0</v>
      </c>
      <c r="DG103" s="268"/>
      <c r="DH103" s="70">
        <v>0</v>
      </c>
      <c r="DI103" s="231"/>
      <c r="DK103" s="103">
        <v>11</v>
      </c>
      <c r="DL103" s="231"/>
      <c r="DM103" s="108">
        <v>11</v>
      </c>
      <c r="DN103" s="231"/>
    </row>
    <row r="104" spans="1:118" ht="84.75" customHeight="1" x14ac:dyDescent="0.2">
      <c r="A104" s="195" t="s">
        <v>160</v>
      </c>
      <c r="B104" s="69" t="s">
        <v>161</v>
      </c>
      <c r="C104" s="70">
        <v>0</v>
      </c>
      <c r="D104" s="248">
        <v>0</v>
      </c>
      <c r="E104" s="71"/>
      <c r="F104" s="70">
        <v>0</v>
      </c>
      <c r="G104" s="248">
        <v>0</v>
      </c>
      <c r="H104" s="71"/>
      <c r="I104" s="70">
        <v>0</v>
      </c>
      <c r="J104" s="248">
        <v>0</v>
      </c>
      <c r="K104" s="71"/>
      <c r="L104" s="70">
        <v>0</v>
      </c>
      <c r="M104" s="248">
        <v>0</v>
      </c>
      <c r="N104" s="242"/>
      <c r="O104" s="70">
        <v>0</v>
      </c>
      <c r="P104" s="248">
        <v>0</v>
      </c>
      <c r="Q104" s="242"/>
      <c r="R104" s="70">
        <v>0</v>
      </c>
      <c r="S104" s="248">
        <v>0</v>
      </c>
      <c r="T104" s="242"/>
      <c r="U104" s="70">
        <v>0</v>
      </c>
      <c r="V104" s="248">
        <v>0</v>
      </c>
      <c r="W104" s="242"/>
      <c r="X104" s="70">
        <v>0</v>
      </c>
      <c r="Y104" s="248">
        <v>0</v>
      </c>
      <c r="Z104" s="242"/>
      <c r="AA104" s="70">
        <v>0</v>
      </c>
      <c r="AB104" s="248">
        <v>0</v>
      </c>
      <c r="AC104" s="242"/>
      <c r="AD104" s="70">
        <v>0</v>
      </c>
      <c r="AE104" s="248">
        <v>0</v>
      </c>
      <c r="AF104" s="242"/>
      <c r="AG104" s="70">
        <v>0</v>
      </c>
      <c r="AH104" s="248">
        <v>0</v>
      </c>
      <c r="AI104" s="242"/>
      <c r="AJ104" s="70">
        <v>0</v>
      </c>
      <c r="AK104" s="248">
        <v>0</v>
      </c>
      <c r="AL104" s="242"/>
      <c r="AM104" s="70">
        <v>0</v>
      </c>
      <c r="AN104" s="248">
        <v>0</v>
      </c>
      <c r="AO104" s="242"/>
      <c r="AP104" s="70">
        <v>0</v>
      </c>
      <c r="AQ104" s="248">
        <v>0</v>
      </c>
      <c r="AR104" s="242"/>
      <c r="AS104" s="70">
        <v>0</v>
      </c>
      <c r="AT104" s="248">
        <v>0</v>
      </c>
      <c r="AU104" s="242"/>
      <c r="AV104" s="70">
        <v>3</v>
      </c>
      <c r="AW104" s="248">
        <f>+AV104/AV105</f>
        <v>1</v>
      </c>
      <c r="AX104" s="242"/>
      <c r="AY104" s="70">
        <v>2</v>
      </c>
      <c r="AZ104" s="248">
        <f>+AY104/AY105</f>
        <v>1</v>
      </c>
      <c r="BA104" s="242"/>
      <c r="BB104" s="70">
        <v>2</v>
      </c>
      <c r="BC104" s="248">
        <f>+BB104/BB105</f>
        <v>1</v>
      </c>
      <c r="BD104" s="198" t="s">
        <v>216</v>
      </c>
      <c r="BE104" s="70">
        <v>4</v>
      </c>
      <c r="BF104" s="248">
        <f>+BE104/BE105</f>
        <v>1</v>
      </c>
      <c r="BG104" s="198"/>
      <c r="BH104" s="70">
        <v>3</v>
      </c>
      <c r="BI104" s="248">
        <f>+BH104/BH105</f>
        <v>1</v>
      </c>
      <c r="BJ104" s="198"/>
      <c r="BK104" s="70">
        <v>5</v>
      </c>
      <c r="BL104" s="248">
        <f>+BK104/BK105</f>
        <v>1</v>
      </c>
      <c r="BM104" s="198"/>
      <c r="BN104" s="70">
        <v>144</v>
      </c>
      <c r="BO104" s="248">
        <f>+BN104/BN105</f>
        <v>48</v>
      </c>
      <c r="BP104" s="198"/>
      <c r="BQ104" s="70">
        <v>0</v>
      </c>
      <c r="BR104" s="248" t="e">
        <f>+BQ104/BQ105</f>
        <v>#DIV/0!</v>
      </c>
      <c r="BS104" s="198" t="s">
        <v>222</v>
      </c>
      <c r="BT104" s="70">
        <f t="shared" si="33"/>
        <v>158</v>
      </c>
      <c r="BU104" s="70">
        <v>2</v>
      </c>
      <c r="BV104" s="230">
        <f>BU104/BU105</f>
        <v>2</v>
      </c>
      <c r="BW104" s="198" t="s">
        <v>246</v>
      </c>
      <c r="BX104" s="70">
        <v>0</v>
      </c>
      <c r="BY104" s="242"/>
      <c r="BZ104" s="198" t="s">
        <v>231</v>
      </c>
      <c r="CA104" s="70">
        <v>0</v>
      </c>
      <c r="CB104" s="242">
        <v>0</v>
      </c>
      <c r="CC104" s="198" t="s">
        <v>231</v>
      </c>
      <c r="CD104" s="70">
        <v>12</v>
      </c>
      <c r="CE104" s="242">
        <v>0</v>
      </c>
      <c r="CF104" s="198" t="s">
        <v>246</v>
      </c>
      <c r="CG104" s="70">
        <v>20</v>
      </c>
      <c r="CH104" s="230">
        <f>+CG104/CG105</f>
        <v>6.666666666666667</v>
      </c>
      <c r="CI104" s="198" t="s">
        <v>246</v>
      </c>
      <c r="CJ104" s="70">
        <v>3</v>
      </c>
      <c r="CK104" s="230">
        <f>CJ104/CJ105</f>
        <v>3</v>
      </c>
      <c r="CL104" s="198" t="s">
        <v>246</v>
      </c>
      <c r="CM104" s="70">
        <f t="shared" si="34"/>
        <v>37</v>
      </c>
      <c r="CN104" s="70">
        <v>0</v>
      </c>
      <c r="CO104" s="230">
        <v>0</v>
      </c>
      <c r="CP104" s="232" t="s">
        <v>352</v>
      </c>
      <c r="CQ104" s="70">
        <v>2</v>
      </c>
      <c r="CR104" s="230">
        <f>CQ104/CQ105</f>
        <v>2</v>
      </c>
      <c r="CS104" s="232" t="s">
        <v>373</v>
      </c>
      <c r="CT104" s="70">
        <v>38</v>
      </c>
      <c r="CU104" s="230">
        <f>CT104/CT105</f>
        <v>9.5</v>
      </c>
      <c r="CV104" s="232" t="s">
        <v>397</v>
      </c>
      <c r="CW104" s="70">
        <v>73</v>
      </c>
      <c r="CX104" s="230">
        <f>CW104/CW105</f>
        <v>9.125</v>
      </c>
      <c r="CY104" s="232" t="s">
        <v>430</v>
      </c>
      <c r="CZ104" s="70">
        <v>0</v>
      </c>
      <c r="DA104" s="230">
        <v>0</v>
      </c>
      <c r="DB104" s="232" t="s">
        <v>461</v>
      </c>
      <c r="DC104" s="70">
        <v>0</v>
      </c>
      <c r="DD104" s="230">
        <v>0</v>
      </c>
      <c r="DF104" s="70">
        <f t="shared" si="35"/>
        <v>113</v>
      </c>
      <c r="DG104" s="267">
        <f t="shared" ref="DG104" si="52">DF104/DF105</f>
        <v>8.6923076923076916</v>
      </c>
      <c r="DH104" s="70">
        <v>0</v>
      </c>
      <c r="DI104" s="230">
        <v>0</v>
      </c>
      <c r="DK104" s="103">
        <v>3</v>
      </c>
      <c r="DL104" s="225">
        <f>+DK104/DK105</f>
        <v>3</v>
      </c>
      <c r="DM104" s="108">
        <v>5</v>
      </c>
      <c r="DN104" s="225">
        <f>+DM104/DM105</f>
        <v>5</v>
      </c>
    </row>
    <row r="105" spans="1:118" ht="54.75" customHeight="1" x14ac:dyDescent="0.2">
      <c r="A105" s="195"/>
      <c r="B105" s="69" t="s">
        <v>162</v>
      </c>
      <c r="C105" s="70">
        <v>0</v>
      </c>
      <c r="D105" s="249"/>
      <c r="E105" s="71"/>
      <c r="F105" s="70">
        <v>0</v>
      </c>
      <c r="G105" s="249"/>
      <c r="H105" s="71"/>
      <c r="I105" s="70">
        <v>0</v>
      </c>
      <c r="J105" s="249"/>
      <c r="K105" s="71"/>
      <c r="L105" s="70">
        <v>0</v>
      </c>
      <c r="M105" s="249"/>
      <c r="N105" s="243"/>
      <c r="O105" s="70">
        <v>0</v>
      </c>
      <c r="P105" s="249"/>
      <c r="Q105" s="243"/>
      <c r="R105" s="70">
        <v>0</v>
      </c>
      <c r="S105" s="249"/>
      <c r="T105" s="243"/>
      <c r="U105" s="70">
        <v>0</v>
      </c>
      <c r="V105" s="249"/>
      <c r="W105" s="243"/>
      <c r="X105" s="70">
        <v>0</v>
      </c>
      <c r="Y105" s="249"/>
      <c r="Z105" s="243"/>
      <c r="AA105" s="70">
        <v>0</v>
      </c>
      <c r="AB105" s="249"/>
      <c r="AC105" s="243"/>
      <c r="AD105" s="70">
        <v>0</v>
      </c>
      <c r="AE105" s="249"/>
      <c r="AF105" s="243"/>
      <c r="AG105" s="70">
        <v>0</v>
      </c>
      <c r="AH105" s="249"/>
      <c r="AI105" s="243"/>
      <c r="AJ105" s="70">
        <v>0</v>
      </c>
      <c r="AK105" s="249"/>
      <c r="AL105" s="243"/>
      <c r="AM105" s="70">
        <v>0</v>
      </c>
      <c r="AN105" s="249"/>
      <c r="AO105" s="243"/>
      <c r="AP105" s="70">
        <v>0</v>
      </c>
      <c r="AQ105" s="249"/>
      <c r="AR105" s="243"/>
      <c r="AS105" s="70">
        <v>0</v>
      </c>
      <c r="AT105" s="249"/>
      <c r="AU105" s="243"/>
      <c r="AV105" s="70">
        <v>3</v>
      </c>
      <c r="AW105" s="249"/>
      <c r="AX105" s="243"/>
      <c r="AY105" s="70">
        <v>2</v>
      </c>
      <c r="AZ105" s="249"/>
      <c r="BA105" s="243"/>
      <c r="BB105" s="70">
        <v>2</v>
      </c>
      <c r="BC105" s="249"/>
      <c r="BD105" s="199"/>
      <c r="BE105" s="70">
        <v>4</v>
      </c>
      <c r="BF105" s="249"/>
      <c r="BG105" s="199"/>
      <c r="BH105" s="70">
        <v>3</v>
      </c>
      <c r="BI105" s="249"/>
      <c r="BJ105" s="199"/>
      <c r="BK105" s="70">
        <v>5</v>
      </c>
      <c r="BL105" s="249"/>
      <c r="BM105" s="199"/>
      <c r="BN105" s="70">
        <v>3</v>
      </c>
      <c r="BO105" s="249"/>
      <c r="BP105" s="199"/>
      <c r="BQ105" s="70">
        <v>0</v>
      </c>
      <c r="BR105" s="249"/>
      <c r="BS105" s="199"/>
      <c r="BT105" s="70">
        <f t="shared" si="33"/>
        <v>17</v>
      </c>
      <c r="BU105" s="70">
        <v>1</v>
      </c>
      <c r="BV105" s="231"/>
      <c r="BW105" s="199"/>
      <c r="BX105" s="70">
        <v>0</v>
      </c>
      <c r="BY105" s="243"/>
      <c r="BZ105" s="199"/>
      <c r="CA105" s="70">
        <v>0</v>
      </c>
      <c r="CB105" s="243"/>
      <c r="CC105" s="199"/>
      <c r="CD105" s="70">
        <v>4</v>
      </c>
      <c r="CE105" s="243"/>
      <c r="CF105" s="199"/>
      <c r="CG105" s="70">
        <v>3</v>
      </c>
      <c r="CH105" s="231"/>
      <c r="CI105" s="199"/>
      <c r="CJ105" s="70">
        <v>1</v>
      </c>
      <c r="CK105" s="231"/>
      <c r="CL105" s="199"/>
      <c r="CM105" s="70">
        <f t="shared" si="34"/>
        <v>9</v>
      </c>
      <c r="CN105" s="70">
        <v>0</v>
      </c>
      <c r="CO105" s="231"/>
      <c r="CP105" s="232"/>
      <c r="CQ105" s="70">
        <v>1</v>
      </c>
      <c r="CR105" s="231"/>
      <c r="CS105" s="232"/>
      <c r="CT105" s="70">
        <v>4</v>
      </c>
      <c r="CU105" s="231"/>
      <c r="CV105" s="232"/>
      <c r="CW105" s="70">
        <v>8</v>
      </c>
      <c r="CX105" s="231"/>
      <c r="CY105" s="232"/>
      <c r="CZ105" s="70">
        <v>0</v>
      </c>
      <c r="DA105" s="231"/>
      <c r="DB105" s="232"/>
      <c r="DC105" s="70">
        <v>0</v>
      </c>
      <c r="DD105" s="231"/>
      <c r="DF105" s="70">
        <f t="shared" si="35"/>
        <v>13</v>
      </c>
      <c r="DG105" s="268"/>
      <c r="DH105" s="70">
        <v>0</v>
      </c>
      <c r="DI105" s="231"/>
      <c r="DK105" s="103">
        <v>1</v>
      </c>
      <c r="DL105" s="225"/>
      <c r="DM105" s="108">
        <v>1</v>
      </c>
      <c r="DN105" s="225"/>
    </row>
    <row r="106" spans="1:118" ht="84" hidden="1" customHeight="1" x14ac:dyDescent="0.2">
      <c r="A106" s="195" t="s">
        <v>163</v>
      </c>
      <c r="B106" s="69" t="s">
        <v>164</v>
      </c>
      <c r="C106" s="70">
        <v>0</v>
      </c>
      <c r="D106" s="248">
        <v>0</v>
      </c>
      <c r="E106" s="71"/>
      <c r="F106" s="70">
        <v>0</v>
      </c>
      <c r="G106" s="248">
        <v>0</v>
      </c>
      <c r="H106" s="71"/>
      <c r="I106" s="70">
        <v>0</v>
      </c>
      <c r="J106" s="248">
        <v>0</v>
      </c>
      <c r="K106" s="71"/>
      <c r="L106" s="70">
        <v>0</v>
      </c>
      <c r="M106" s="248">
        <v>0</v>
      </c>
      <c r="N106" s="242"/>
      <c r="O106" s="70">
        <v>0</v>
      </c>
      <c r="P106" s="248">
        <v>0</v>
      </c>
      <c r="Q106" s="242"/>
      <c r="R106" s="70">
        <v>0</v>
      </c>
      <c r="S106" s="248">
        <v>0</v>
      </c>
      <c r="T106" s="242"/>
      <c r="U106" s="70">
        <v>0</v>
      </c>
      <c r="V106" s="248">
        <v>0</v>
      </c>
      <c r="W106" s="242"/>
      <c r="X106" s="70">
        <v>0</v>
      </c>
      <c r="Y106" s="248">
        <v>0</v>
      </c>
      <c r="Z106" s="242"/>
      <c r="AA106" s="70">
        <v>0</v>
      </c>
      <c r="AB106" s="248">
        <v>0</v>
      </c>
      <c r="AC106" s="242"/>
      <c r="AD106" s="70">
        <v>0</v>
      </c>
      <c r="AE106" s="248">
        <v>0</v>
      </c>
      <c r="AF106" s="242"/>
      <c r="AG106" s="70">
        <v>0</v>
      </c>
      <c r="AH106" s="248">
        <v>0</v>
      </c>
      <c r="AI106" s="242"/>
      <c r="AJ106" s="70">
        <v>0</v>
      </c>
      <c r="AK106" s="248">
        <v>0</v>
      </c>
      <c r="AL106" s="242"/>
      <c r="AM106" s="70">
        <v>0</v>
      </c>
      <c r="AN106" s="248">
        <v>0</v>
      </c>
      <c r="AO106" s="242"/>
      <c r="AP106" s="70">
        <v>0</v>
      </c>
      <c r="AQ106" s="248">
        <v>0</v>
      </c>
      <c r="AR106" s="242"/>
      <c r="AS106" s="70">
        <v>0</v>
      </c>
      <c r="AT106" s="248">
        <v>0</v>
      </c>
      <c r="AU106" s="242"/>
      <c r="AV106" s="70">
        <v>0</v>
      </c>
      <c r="AW106" s="248">
        <v>0</v>
      </c>
      <c r="AX106" s="242"/>
      <c r="AY106" s="70">
        <v>0</v>
      </c>
      <c r="AZ106" s="248">
        <v>0</v>
      </c>
      <c r="BA106" s="242"/>
      <c r="BB106" s="70" t="s">
        <v>47</v>
      </c>
      <c r="BC106" s="248">
        <v>0</v>
      </c>
      <c r="BD106" s="242"/>
      <c r="BE106" s="70"/>
      <c r="BF106" s="248">
        <v>0</v>
      </c>
      <c r="BG106" s="242"/>
      <c r="BH106" s="70"/>
      <c r="BI106" s="248">
        <v>0</v>
      </c>
      <c r="BJ106" s="242"/>
      <c r="BK106" s="70"/>
      <c r="BL106" s="248">
        <v>0</v>
      </c>
      <c r="BM106" s="242"/>
      <c r="BN106" s="70"/>
      <c r="BO106" s="248">
        <v>0</v>
      </c>
      <c r="BP106" s="242"/>
      <c r="BQ106" s="70"/>
      <c r="BR106" s="248">
        <v>0</v>
      </c>
      <c r="BS106" s="242"/>
      <c r="BT106" s="70" t="e">
        <f t="shared" si="33"/>
        <v>#VALUE!</v>
      </c>
      <c r="BU106" s="70"/>
      <c r="BV106" s="242"/>
      <c r="BW106" s="72"/>
      <c r="BX106" s="70"/>
      <c r="BY106" s="242"/>
      <c r="BZ106" s="72"/>
      <c r="CA106" s="70"/>
      <c r="CB106" s="242"/>
      <c r="CC106" s="72"/>
      <c r="CD106" s="70"/>
      <c r="CE106" s="242"/>
      <c r="CF106" s="72"/>
      <c r="CG106" s="70"/>
      <c r="CH106" s="242"/>
      <c r="CI106" s="72"/>
      <c r="CJ106" s="70"/>
      <c r="CK106" s="242"/>
      <c r="CL106" s="72"/>
      <c r="CM106" s="70">
        <f t="shared" si="34"/>
        <v>0</v>
      </c>
      <c r="DF106" s="70">
        <f t="shared" si="35"/>
        <v>0</v>
      </c>
      <c r="DG106" s="267" t="e">
        <f t="shared" ref="DG106" si="53">DF106/DF107</f>
        <v>#DIV/0!</v>
      </c>
    </row>
    <row r="107" spans="1:118" ht="42" hidden="1" customHeight="1" x14ac:dyDescent="0.2">
      <c r="A107" s="195"/>
      <c r="B107" s="69" t="s">
        <v>165</v>
      </c>
      <c r="C107" s="70">
        <v>0</v>
      </c>
      <c r="D107" s="249"/>
      <c r="E107" s="71"/>
      <c r="F107" s="70">
        <v>0</v>
      </c>
      <c r="G107" s="249"/>
      <c r="H107" s="71"/>
      <c r="I107" s="70">
        <v>0</v>
      </c>
      <c r="J107" s="249"/>
      <c r="K107" s="71"/>
      <c r="L107" s="70">
        <v>0</v>
      </c>
      <c r="M107" s="249"/>
      <c r="N107" s="243"/>
      <c r="O107" s="70">
        <v>0</v>
      </c>
      <c r="P107" s="249"/>
      <c r="Q107" s="243"/>
      <c r="R107" s="70">
        <v>0</v>
      </c>
      <c r="S107" s="249"/>
      <c r="T107" s="243"/>
      <c r="U107" s="70">
        <v>0</v>
      </c>
      <c r="V107" s="249"/>
      <c r="W107" s="243"/>
      <c r="X107" s="70">
        <v>0</v>
      </c>
      <c r="Y107" s="249"/>
      <c r="Z107" s="243"/>
      <c r="AA107" s="70">
        <v>0</v>
      </c>
      <c r="AB107" s="249"/>
      <c r="AC107" s="243"/>
      <c r="AD107" s="70">
        <v>0</v>
      </c>
      <c r="AE107" s="249"/>
      <c r="AF107" s="243"/>
      <c r="AG107" s="70">
        <v>0</v>
      </c>
      <c r="AH107" s="249"/>
      <c r="AI107" s="243"/>
      <c r="AJ107" s="70">
        <v>0</v>
      </c>
      <c r="AK107" s="249"/>
      <c r="AL107" s="243"/>
      <c r="AM107" s="70">
        <v>0</v>
      </c>
      <c r="AN107" s="249"/>
      <c r="AO107" s="243"/>
      <c r="AP107" s="70">
        <v>0</v>
      </c>
      <c r="AQ107" s="249"/>
      <c r="AR107" s="243"/>
      <c r="AS107" s="70">
        <v>0</v>
      </c>
      <c r="AT107" s="249"/>
      <c r="AU107" s="243"/>
      <c r="AV107" s="70">
        <v>0</v>
      </c>
      <c r="AW107" s="249"/>
      <c r="AX107" s="243"/>
      <c r="AY107" s="70">
        <v>0</v>
      </c>
      <c r="AZ107" s="249"/>
      <c r="BA107" s="243"/>
      <c r="BB107" s="70" t="s">
        <v>47</v>
      </c>
      <c r="BC107" s="249"/>
      <c r="BD107" s="243"/>
      <c r="BE107" s="70"/>
      <c r="BF107" s="249"/>
      <c r="BG107" s="243"/>
      <c r="BH107" s="70"/>
      <c r="BI107" s="249"/>
      <c r="BJ107" s="243"/>
      <c r="BK107" s="70"/>
      <c r="BL107" s="249"/>
      <c r="BM107" s="243"/>
      <c r="BN107" s="70"/>
      <c r="BO107" s="249"/>
      <c r="BP107" s="243"/>
      <c r="BQ107" s="70"/>
      <c r="BR107" s="249"/>
      <c r="BS107" s="243"/>
      <c r="BT107" s="70" t="e">
        <f t="shared" si="33"/>
        <v>#VALUE!</v>
      </c>
      <c r="BU107" s="70"/>
      <c r="BV107" s="243"/>
      <c r="BW107" s="72"/>
      <c r="BX107" s="70"/>
      <c r="BY107" s="243"/>
      <c r="BZ107" s="72"/>
      <c r="CA107" s="70"/>
      <c r="CB107" s="243"/>
      <c r="CC107" s="72"/>
      <c r="CD107" s="70"/>
      <c r="CE107" s="243"/>
      <c r="CF107" s="72"/>
      <c r="CG107" s="70"/>
      <c r="CH107" s="243"/>
      <c r="CI107" s="72"/>
      <c r="CJ107" s="70"/>
      <c r="CK107" s="243"/>
      <c r="CL107" s="72"/>
      <c r="CM107" s="70">
        <f t="shared" si="34"/>
        <v>0</v>
      </c>
      <c r="DF107" s="70">
        <f t="shared" si="35"/>
        <v>0</v>
      </c>
      <c r="DG107" s="268"/>
    </row>
    <row r="108" spans="1:118" ht="87" customHeight="1" x14ac:dyDescent="0.2">
      <c r="A108" s="195" t="s">
        <v>166</v>
      </c>
      <c r="B108" s="69" t="s">
        <v>167</v>
      </c>
      <c r="C108" s="75">
        <v>3918</v>
      </c>
      <c r="D108" s="248">
        <f>+C108/C109</f>
        <v>0.93463740458015265</v>
      </c>
      <c r="E108" s="71"/>
      <c r="F108" s="75">
        <v>688</v>
      </c>
      <c r="G108" s="248">
        <f>+F108/F109</f>
        <v>0.9662921348314607</v>
      </c>
      <c r="H108" s="71"/>
      <c r="I108" s="75">
        <v>388</v>
      </c>
      <c r="J108" s="248">
        <f>+I108/I109</f>
        <v>0.81341719077568131</v>
      </c>
      <c r="K108" s="71"/>
      <c r="L108" s="75">
        <v>604</v>
      </c>
      <c r="M108" s="248">
        <f>+L108/L109</f>
        <v>0.97419354838709682</v>
      </c>
      <c r="N108" s="242"/>
      <c r="O108" s="75"/>
      <c r="P108" s="248" t="e">
        <f>+O108/O109</f>
        <v>#DIV/0!</v>
      </c>
      <c r="Q108" s="242"/>
      <c r="R108" s="75">
        <v>605</v>
      </c>
      <c r="S108" s="248">
        <f>+R108/R109</f>
        <v>0.97580645161290325</v>
      </c>
      <c r="T108" s="242"/>
      <c r="U108" s="75">
        <v>236</v>
      </c>
      <c r="V108" s="248">
        <f>+U108/U109</f>
        <v>0.95161290322580649</v>
      </c>
      <c r="W108" s="242"/>
      <c r="X108" s="75">
        <v>428</v>
      </c>
      <c r="Y108" s="248">
        <f>+X108/X109</f>
        <v>0.97716894977168944</v>
      </c>
      <c r="Z108" s="242"/>
      <c r="AA108" s="75">
        <v>237</v>
      </c>
      <c r="AB108" s="248">
        <f>+AA108/AA109</f>
        <v>0.93675889328063244</v>
      </c>
      <c r="AC108" s="242"/>
      <c r="AD108" s="75">
        <f>172+42+12+15</f>
        <v>241</v>
      </c>
      <c r="AE108" s="248">
        <f>+AD108/AD109</f>
        <v>0.74613003095975228</v>
      </c>
      <c r="AF108" s="242"/>
      <c r="AG108" s="75">
        <f>69+84+37</f>
        <v>190</v>
      </c>
      <c r="AH108" s="248">
        <f>+AG108/AG109</f>
        <v>0.81196581196581197</v>
      </c>
      <c r="AI108" s="242"/>
      <c r="AJ108" s="75">
        <f>171+311+89+177</f>
        <v>748</v>
      </c>
      <c r="AK108" s="248">
        <f>+AJ108/AJ109</f>
        <v>0.85388127853881279</v>
      </c>
      <c r="AL108" s="242"/>
      <c r="AM108" s="75">
        <f>178+104+147+165</f>
        <v>594</v>
      </c>
      <c r="AN108" s="248">
        <f>+AM108/AM109</f>
        <v>0.90825688073394495</v>
      </c>
      <c r="AO108" s="242"/>
      <c r="AP108" s="75">
        <f>180+5+61</f>
        <v>246</v>
      </c>
      <c r="AQ108" s="248">
        <f>+AP108/AP109</f>
        <v>0.83389830508474572</v>
      </c>
      <c r="AR108" s="242"/>
      <c r="AS108" s="75">
        <f>28+115+232+33</f>
        <v>408</v>
      </c>
      <c r="AT108" s="248">
        <f>+AS108/AS109</f>
        <v>0.88695652173913042</v>
      </c>
      <c r="AU108" s="242"/>
      <c r="AV108" s="75">
        <f>6+43+35+43</f>
        <v>127</v>
      </c>
      <c r="AW108" s="248">
        <f>+AV108/AV109</f>
        <v>0.8141025641025641</v>
      </c>
      <c r="AX108" s="242"/>
      <c r="AY108" s="75">
        <f>14+5</f>
        <v>19</v>
      </c>
      <c r="AZ108" s="248">
        <f>+AY108/AY109</f>
        <v>0.90476190476190477</v>
      </c>
      <c r="BA108" s="242"/>
      <c r="BB108" s="75">
        <v>32</v>
      </c>
      <c r="BC108" s="248">
        <f>+BB108/BB109</f>
        <v>0.76190476190476186</v>
      </c>
      <c r="BD108" s="242"/>
      <c r="BE108" s="75">
        <v>24</v>
      </c>
      <c r="BF108" s="248">
        <f>+BE108/BE109</f>
        <v>0.75</v>
      </c>
      <c r="BG108" s="242"/>
      <c r="BH108" s="75">
        <v>43</v>
      </c>
      <c r="BI108" s="248">
        <f>+BH108/BH109</f>
        <v>0.81132075471698117</v>
      </c>
      <c r="BJ108" s="242"/>
      <c r="BK108" s="75">
        <f>94+66</f>
        <v>160</v>
      </c>
      <c r="BL108" s="248">
        <f>+BK108/BK109</f>
        <v>0.898876404494382</v>
      </c>
      <c r="BM108" s="242"/>
      <c r="BN108" s="75">
        <f>116+154+11</f>
        <v>281</v>
      </c>
      <c r="BO108" s="248">
        <f>+BN108/BN109</f>
        <v>0.90645161290322585</v>
      </c>
      <c r="BP108" s="242"/>
      <c r="BQ108" s="75">
        <f>250+31</f>
        <v>281</v>
      </c>
      <c r="BR108" s="248">
        <f>+BQ108/BQ109</f>
        <v>0.94295302013422821</v>
      </c>
      <c r="BS108" s="242"/>
      <c r="BT108" s="75">
        <f t="shared" si="33"/>
        <v>821</v>
      </c>
      <c r="BU108" s="75">
        <v>91</v>
      </c>
      <c r="BV108" s="233">
        <f>BU108/BU109</f>
        <v>0.96808510638297873</v>
      </c>
      <c r="BW108" s="198" t="s">
        <v>249</v>
      </c>
      <c r="BX108" s="70">
        <f>118+13+87+17</f>
        <v>235</v>
      </c>
      <c r="BY108" s="233">
        <f>BX108/BX109</f>
        <v>0.92885375494071143</v>
      </c>
      <c r="BZ108" s="198" t="s">
        <v>249</v>
      </c>
      <c r="CA108" s="70">
        <f>51+144+1+38</f>
        <v>234</v>
      </c>
      <c r="CB108" s="233">
        <f>CA108/CA109</f>
        <v>0.823943661971831</v>
      </c>
      <c r="CC108" s="198"/>
      <c r="CD108" s="70">
        <f>94+22+85</f>
        <v>201</v>
      </c>
      <c r="CE108" s="233">
        <f>CD108/CD109</f>
        <v>0.92201834862385323</v>
      </c>
      <c r="CF108" s="198" t="s">
        <v>285</v>
      </c>
      <c r="CG108" s="70">
        <f>94+22+85</f>
        <v>201</v>
      </c>
      <c r="CH108" s="233">
        <f>CG108/CG109</f>
        <v>0.92201834862385323</v>
      </c>
      <c r="CI108" s="198" t="s">
        <v>285</v>
      </c>
      <c r="CJ108" s="73">
        <v>170</v>
      </c>
      <c r="CK108" s="196">
        <f>+CJ108/CJ109</f>
        <v>0.85</v>
      </c>
      <c r="CL108" s="198" t="s">
        <v>313</v>
      </c>
      <c r="CM108" s="73">
        <f t="shared" si="34"/>
        <v>1132</v>
      </c>
      <c r="CN108" s="70">
        <v>0</v>
      </c>
      <c r="CO108" s="230">
        <v>0</v>
      </c>
      <c r="CP108" s="232" t="s">
        <v>370</v>
      </c>
      <c r="CQ108" s="70">
        <f>47+119+109</f>
        <v>275</v>
      </c>
      <c r="CR108" s="233">
        <f>CQ108/CQ109</f>
        <v>0.93220338983050843</v>
      </c>
      <c r="CS108" s="232" t="s">
        <v>371</v>
      </c>
      <c r="CT108" s="70">
        <v>41</v>
      </c>
      <c r="CU108" s="233">
        <f>CT108/CT109</f>
        <v>0.95348837209302328</v>
      </c>
      <c r="CV108" s="232" t="s">
        <v>431</v>
      </c>
      <c r="CW108" s="70">
        <f>3+73+193</f>
        <v>269</v>
      </c>
      <c r="CX108" s="219">
        <f>CW108/CW109</f>
        <v>0.91186440677966096</v>
      </c>
      <c r="CY108" s="232" t="s">
        <v>432</v>
      </c>
      <c r="CZ108" s="70">
        <f>29+4+32+181</f>
        <v>246</v>
      </c>
      <c r="DA108" s="219">
        <f>CZ108/CZ109</f>
        <v>0.81456953642384111</v>
      </c>
      <c r="DB108" s="232" t="s">
        <v>467</v>
      </c>
      <c r="DC108" s="70">
        <f>339+158+9</f>
        <v>506</v>
      </c>
      <c r="DD108" s="219">
        <f>+DC108/DC109</f>
        <v>0.88616462346760072</v>
      </c>
      <c r="DE108" s="233"/>
      <c r="DF108" s="70">
        <f t="shared" si="35"/>
        <v>1337</v>
      </c>
      <c r="DG108" s="267">
        <f t="shared" ref="DG108" si="54">DF108/DF109</f>
        <v>0.88778220451527223</v>
      </c>
      <c r="DH108" s="70">
        <f>40+242+30+228</f>
        <v>540</v>
      </c>
      <c r="DI108" s="219">
        <f>+DH108/DH109</f>
        <v>0.89403973509933776</v>
      </c>
      <c r="DJ108" s="233"/>
      <c r="DK108" s="115">
        <f>39+5+177+156</f>
        <v>377</v>
      </c>
      <c r="DL108" s="219">
        <f>+DK108/DK109</f>
        <v>0.98177083333333337</v>
      </c>
      <c r="DM108" s="97"/>
      <c r="DN108" s="242" t="e">
        <f>+DM108/DM109</f>
        <v>#DIV/0!</v>
      </c>
    </row>
    <row r="109" spans="1:118" ht="50.25" customHeight="1" x14ac:dyDescent="0.2">
      <c r="A109" s="195"/>
      <c r="B109" s="69" t="s">
        <v>168</v>
      </c>
      <c r="C109" s="75">
        <v>4192</v>
      </c>
      <c r="D109" s="249"/>
      <c r="E109" s="71"/>
      <c r="F109" s="75">
        <v>712</v>
      </c>
      <c r="G109" s="249"/>
      <c r="H109" s="71"/>
      <c r="I109" s="75">
        <v>477</v>
      </c>
      <c r="J109" s="249"/>
      <c r="K109" s="71"/>
      <c r="L109" s="75">
        <v>620</v>
      </c>
      <c r="M109" s="249"/>
      <c r="N109" s="243"/>
      <c r="O109" s="75"/>
      <c r="P109" s="249"/>
      <c r="Q109" s="243"/>
      <c r="R109" s="75">
        <v>620</v>
      </c>
      <c r="S109" s="249"/>
      <c r="T109" s="243"/>
      <c r="U109" s="75">
        <v>248</v>
      </c>
      <c r="V109" s="249"/>
      <c r="W109" s="243"/>
      <c r="X109" s="75">
        <v>438</v>
      </c>
      <c r="Y109" s="249"/>
      <c r="Z109" s="243"/>
      <c r="AA109" s="75">
        <v>253</v>
      </c>
      <c r="AB109" s="249"/>
      <c r="AC109" s="243"/>
      <c r="AD109" s="75">
        <f>222+62+18+21</f>
        <v>323</v>
      </c>
      <c r="AE109" s="249"/>
      <c r="AF109" s="243"/>
      <c r="AG109" s="75">
        <f>75+108+51</f>
        <v>234</v>
      </c>
      <c r="AH109" s="249"/>
      <c r="AI109" s="243"/>
      <c r="AJ109" s="75">
        <f>217+378+92+189</f>
        <v>876</v>
      </c>
      <c r="AK109" s="249"/>
      <c r="AL109" s="243"/>
      <c r="AM109" s="75">
        <f>182+118+177+177</f>
        <v>654</v>
      </c>
      <c r="AN109" s="249"/>
      <c r="AO109" s="243"/>
      <c r="AP109" s="75">
        <f>204+5+86</f>
        <v>295</v>
      </c>
      <c r="AQ109" s="249"/>
      <c r="AR109" s="243"/>
      <c r="AS109" s="75">
        <f>34+134+254+38</f>
        <v>460</v>
      </c>
      <c r="AT109" s="249"/>
      <c r="AU109" s="243"/>
      <c r="AV109" s="75">
        <f>9+50+47+50</f>
        <v>156</v>
      </c>
      <c r="AW109" s="249"/>
      <c r="AX109" s="243"/>
      <c r="AY109" s="75">
        <f>15+6</f>
        <v>21</v>
      </c>
      <c r="AZ109" s="249"/>
      <c r="BA109" s="243"/>
      <c r="BB109" s="75">
        <f>23+19</f>
        <v>42</v>
      </c>
      <c r="BC109" s="249"/>
      <c r="BD109" s="243"/>
      <c r="BE109" s="75">
        <v>32</v>
      </c>
      <c r="BF109" s="249"/>
      <c r="BG109" s="243"/>
      <c r="BH109" s="75">
        <v>53</v>
      </c>
      <c r="BI109" s="249"/>
      <c r="BJ109" s="243"/>
      <c r="BK109" s="75">
        <f>102+76</f>
        <v>178</v>
      </c>
      <c r="BL109" s="249"/>
      <c r="BM109" s="243"/>
      <c r="BN109" s="75">
        <f>132+164+14</f>
        <v>310</v>
      </c>
      <c r="BO109" s="249"/>
      <c r="BP109" s="243"/>
      <c r="BQ109" s="75">
        <f>264+34</f>
        <v>298</v>
      </c>
      <c r="BR109" s="249"/>
      <c r="BS109" s="243"/>
      <c r="BT109" s="75">
        <f t="shared" si="33"/>
        <v>913</v>
      </c>
      <c r="BU109" s="75">
        <v>94</v>
      </c>
      <c r="BV109" s="234"/>
      <c r="BW109" s="199"/>
      <c r="BX109" s="70">
        <f>135+100+18</f>
        <v>253</v>
      </c>
      <c r="BY109" s="234"/>
      <c r="BZ109" s="199"/>
      <c r="CA109" s="70">
        <f>56+163+1+64</f>
        <v>284</v>
      </c>
      <c r="CB109" s="234"/>
      <c r="CC109" s="199"/>
      <c r="CD109" s="70">
        <f>101+25+92</f>
        <v>218</v>
      </c>
      <c r="CE109" s="234"/>
      <c r="CF109" s="199"/>
      <c r="CG109" s="70">
        <f>101+25+92</f>
        <v>218</v>
      </c>
      <c r="CH109" s="234"/>
      <c r="CI109" s="199"/>
      <c r="CJ109" s="73">
        <v>200</v>
      </c>
      <c r="CK109" s="197"/>
      <c r="CL109" s="199"/>
      <c r="CM109" s="73">
        <f t="shared" si="34"/>
        <v>1267</v>
      </c>
      <c r="CN109" s="70">
        <v>0</v>
      </c>
      <c r="CO109" s="231"/>
      <c r="CP109" s="232"/>
      <c r="CQ109" s="70">
        <f>51+120+124</f>
        <v>295</v>
      </c>
      <c r="CR109" s="234"/>
      <c r="CS109" s="232"/>
      <c r="CT109" s="70">
        <v>43</v>
      </c>
      <c r="CU109" s="234"/>
      <c r="CV109" s="232"/>
      <c r="CW109" s="70">
        <f>3+82+210</f>
        <v>295</v>
      </c>
      <c r="CX109" s="220"/>
      <c r="CY109" s="232"/>
      <c r="CZ109" s="70">
        <v>302</v>
      </c>
      <c r="DA109" s="220"/>
      <c r="DB109" s="232"/>
      <c r="DC109" s="70">
        <f>384+175+12</f>
        <v>571</v>
      </c>
      <c r="DD109" s="220"/>
      <c r="DE109" s="234"/>
      <c r="DF109" s="70">
        <f t="shared" si="35"/>
        <v>1506</v>
      </c>
      <c r="DG109" s="268"/>
      <c r="DH109" s="70">
        <f>46+264+33+261</f>
        <v>604</v>
      </c>
      <c r="DI109" s="220"/>
      <c r="DJ109" s="234"/>
      <c r="DK109" s="115">
        <f>39+5+181+159</f>
        <v>384</v>
      </c>
      <c r="DL109" s="220"/>
      <c r="DM109" s="97"/>
      <c r="DN109" s="243"/>
    </row>
    <row r="110" spans="1:118" ht="90" customHeight="1" x14ac:dyDescent="0.2">
      <c r="A110" s="195" t="s">
        <v>169</v>
      </c>
      <c r="B110" s="69" t="s">
        <v>170</v>
      </c>
      <c r="C110" s="75">
        <v>3918</v>
      </c>
      <c r="D110" s="248">
        <f>+C110/C111</f>
        <v>0.93463740458015265</v>
      </c>
      <c r="E110" s="71"/>
      <c r="F110" s="75">
        <v>688</v>
      </c>
      <c r="G110" s="248">
        <f>+F110/F111</f>
        <v>0.9662921348314607</v>
      </c>
      <c r="H110" s="71"/>
      <c r="I110" s="75">
        <v>388</v>
      </c>
      <c r="J110" s="248">
        <f>+I110/I111</f>
        <v>0.81341719077568131</v>
      </c>
      <c r="K110" s="71"/>
      <c r="L110" s="75">
        <v>604</v>
      </c>
      <c r="M110" s="248">
        <f>+L110/L111</f>
        <v>0.97419354838709682</v>
      </c>
      <c r="N110" s="242"/>
      <c r="O110" s="75"/>
      <c r="P110" s="248" t="e">
        <f>+O110/O111</f>
        <v>#DIV/0!</v>
      </c>
      <c r="Q110" s="242"/>
      <c r="R110" s="75">
        <v>605</v>
      </c>
      <c r="S110" s="248">
        <f>+R110/R111</f>
        <v>0.97580645161290325</v>
      </c>
      <c r="T110" s="242"/>
      <c r="U110" s="75">
        <v>236</v>
      </c>
      <c r="V110" s="248">
        <f>+U110/U111</f>
        <v>0.95161290322580649</v>
      </c>
      <c r="W110" s="242"/>
      <c r="X110" s="75">
        <v>428</v>
      </c>
      <c r="Y110" s="248">
        <f>+X110/X111</f>
        <v>0.97716894977168944</v>
      </c>
      <c r="Z110" s="242"/>
      <c r="AA110" s="75">
        <v>237</v>
      </c>
      <c r="AB110" s="248">
        <f>+AA110/AA111</f>
        <v>0.93675889328063244</v>
      </c>
      <c r="AC110" s="242"/>
      <c r="AD110" s="75">
        <f>172+42+12+15</f>
        <v>241</v>
      </c>
      <c r="AE110" s="248">
        <f>+AD110/AD111</f>
        <v>0.74613003095975228</v>
      </c>
      <c r="AF110" s="242"/>
      <c r="AG110" s="75">
        <f>70+87+38</f>
        <v>195</v>
      </c>
      <c r="AH110" s="248">
        <f>+AG110/AG111</f>
        <v>0.83333333333333337</v>
      </c>
      <c r="AI110" s="242"/>
      <c r="AJ110" s="75">
        <f>173+318+89+180</f>
        <v>760</v>
      </c>
      <c r="AK110" s="248">
        <f>+AJ110/AJ111</f>
        <v>0.86757990867579904</v>
      </c>
      <c r="AL110" s="242"/>
      <c r="AM110" s="75">
        <f>179+107+140+171</f>
        <v>597</v>
      </c>
      <c r="AN110" s="248">
        <f>+AM110/AM111</f>
        <v>0.91284403669724767</v>
      </c>
      <c r="AO110" s="242"/>
      <c r="AP110" s="75">
        <f>180+5+61</f>
        <v>246</v>
      </c>
      <c r="AQ110" s="248">
        <f>+AP110/AP111</f>
        <v>0.83389830508474572</v>
      </c>
      <c r="AR110" s="242"/>
      <c r="AS110" s="75">
        <f>28+115+232+33</f>
        <v>408</v>
      </c>
      <c r="AT110" s="248">
        <f>+AS110/AS111</f>
        <v>0.88695652173913042</v>
      </c>
      <c r="AU110" s="242"/>
      <c r="AV110" s="75">
        <f>6+43+35+43</f>
        <v>127</v>
      </c>
      <c r="AW110" s="248">
        <f>+AV110/AV111</f>
        <v>0.8141025641025641</v>
      </c>
      <c r="AX110" s="242"/>
      <c r="AY110" s="75">
        <f>14+5</f>
        <v>19</v>
      </c>
      <c r="AZ110" s="248">
        <f>+AY110/AY111</f>
        <v>0.90476190476190477</v>
      </c>
      <c r="BA110" s="242"/>
      <c r="BB110" s="75">
        <v>39</v>
      </c>
      <c r="BC110" s="248">
        <f>+BB110/BB111</f>
        <v>0.9285714285714286</v>
      </c>
      <c r="BD110" s="242"/>
      <c r="BE110" s="75">
        <v>29</v>
      </c>
      <c r="BF110" s="248">
        <f>+BE110/BE111</f>
        <v>0.90625</v>
      </c>
      <c r="BG110" s="242"/>
      <c r="BH110" s="75">
        <v>47</v>
      </c>
      <c r="BI110" s="248">
        <f>+BH110/BH111</f>
        <v>0.8867924528301887</v>
      </c>
      <c r="BJ110" s="242"/>
      <c r="BK110" s="75">
        <f>85+67</f>
        <v>152</v>
      </c>
      <c r="BL110" s="248">
        <f>+BK110/BK111</f>
        <v>0.8539325842696629</v>
      </c>
      <c r="BM110" s="242"/>
      <c r="BN110" s="75">
        <f>119+152+1+12</f>
        <v>284</v>
      </c>
      <c r="BO110" s="248">
        <f>+BN110/BN111</f>
        <v>0.91318327974276525</v>
      </c>
      <c r="BP110" s="242"/>
      <c r="BQ110" s="75">
        <f>247+33</f>
        <v>280</v>
      </c>
      <c r="BR110" s="248">
        <f>+BQ110/BQ111</f>
        <v>0.93959731543624159</v>
      </c>
      <c r="BS110" s="242"/>
      <c r="BT110" s="75">
        <f t="shared" si="33"/>
        <v>831</v>
      </c>
      <c r="BU110" s="75">
        <v>87</v>
      </c>
      <c r="BV110" s="233">
        <f>BU110/BU111</f>
        <v>0.92553191489361697</v>
      </c>
      <c r="BW110" s="198" t="s">
        <v>248</v>
      </c>
      <c r="BX110" s="70">
        <f>127+72+17</f>
        <v>216</v>
      </c>
      <c r="BY110" s="233">
        <f>BX110/BX111</f>
        <v>0.85375494071146241</v>
      </c>
      <c r="BZ110" s="198" t="s">
        <v>248</v>
      </c>
      <c r="CA110" s="70">
        <f>50+148+1+56</f>
        <v>255</v>
      </c>
      <c r="CB110" s="233">
        <f>CA110/CA111</f>
        <v>0.897887323943662</v>
      </c>
      <c r="CC110" s="198"/>
      <c r="CD110" s="70">
        <f>95+22+87</f>
        <v>204</v>
      </c>
      <c r="CE110" s="233">
        <f>CD110/CD111</f>
        <v>0.93577981651376152</v>
      </c>
      <c r="CF110" s="198" t="s">
        <v>286</v>
      </c>
      <c r="CG110" s="70">
        <f>95+22+87</f>
        <v>204</v>
      </c>
      <c r="CH110" s="233">
        <f>CG110/CG111</f>
        <v>0.93577981651376152</v>
      </c>
      <c r="CI110" s="198" t="s">
        <v>286</v>
      </c>
      <c r="CJ110" s="73">
        <v>180</v>
      </c>
      <c r="CK110" s="196">
        <f>+CJ110/CJ111</f>
        <v>0.9</v>
      </c>
      <c r="CL110" s="198" t="s">
        <v>314</v>
      </c>
      <c r="CM110" s="73">
        <f t="shared" si="34"/>
        <v>1146</v>
      </c>
      <c r="CN110" s="70">
        <v>0</v>
      </c>
      <c r="CO110" s="230">
        <v>0</v>
      </c>
      <c r="CP110" s="232" t="s">
        <v>370</v>
      </c>
      <c r="CQ110" s="70">
        <f>50+115+113</f>
        <v>278</v>
      </c>
      <c r="CR110" s="233">
        <f>CQ110/CQ111</f>
        <v>0.94237288135593222</v>
      </c>
      <c r="CS110" s="232" t="s">
        <v>372</v>
      </c>
      <c r="CT110" s="70">
        <v>41</v>
      </c>
      <c r="CU110" s="233">
        <f>CT110/CT111</f>
        <v>0.95348837209302328</v>
      </c>
      <c r="CV110" s="232" t="s">
        <v>398</v>
      </c>
      <c r="CW110" s="70">
        <f>3+74+186</f>
        <v>263</v>
      </c>
      <c r="CX110" s="219">
        <f>CW110/CW111</f>
        <v>0.8915254237288136</v>
      </c>
      <c r="CY110" s="232" t="s">
        <v>433</v>
      </c>
      <c r="CZ110" s="70">
        <f>32+32+194</f>
        <v>258</v>
      </c>
      <c r="DA110" s="219">
        <f>CZ110/CZ111</f>
        <v>0.85430463576158944</v>
      </c>
      <c r="DB110" s="232" t="s">
        <v>467</v>
      </c>
      <c r="DC110" s="70">
        <f>357+163+11</f>
        <v>531</v>
      </c>
      <c r="DD110" s="219">
        <f>+DC110/DC111</f>
        <v>0.92994746059544664</v>
      </c>
      <c r="DE110" s="96"/>
      <c r="DF110" s="70">
        <f t="shared" si="35"/>
        <v>1371</v>
      </c>
      <c r="DG110" s="267">
        <f t="shared" ref="DG110" si="55">DF110/DF111</f>
        <v>0.91035856573705176</v>
      </c>
      <c r="DH110" s="70">
        <v>379</v>
      </c>
      <c r="DI110" s="219">
        <f>DH110/DH111</f>
        <v>0.95226130653266328</v>
      </c>
      <c r="DJ110" s="96"/>
      <c r="DK110" s="115">
        <f>39+5+178+157</f>
        <v>379</v>
      </c>
      <c r="DL110" s="219">
        <f>+DK110/DK111</f>
        <v>0.98697916666666663</v>
      </c>
      <c r="DM110" s="97"/>
      <c r="DN110" s="242" t="e">
        <f>+DM110/DM111</f>
        <v>#DIV/0!</v>
      </c>
    </row>
    <row r="111" spans="1:118" ht="39" customHeight="1" x14ac:dyDescent="0.2">
      <c r="A111" s="195"/>
      <c r="B111" s="69" t="s">
        <v>168</v>
      </c>
      <c r="C111" s="75">
        <v>4192</v>
      </c>
      <c r="D111" s="249"/>
      <c r="E111" s="71"/>
      <c r="F111" s="75">
        <v>712</v>
      </c>
      <c r="G111" s="249"/>
      <c r="H111" s="71"/>
      <c r="I111" s="75">
        <v>477</v>
      </c>
      <c r="J111" s="249"/>
      <c r="K111" s="71"/>
      <c r="L111" s="75">
        <v>620</v>
      </c>
      <c r="M111" s="249"/>
      <c r="N111" s="243"/>
      <c r="O111" s="75"/>
      <c r="P111" s="249"/>
      <c r="Q111" s="243"/>
      <c r="R111" s="75">
        <v>620</v>
      </c>
      <c r="S111" s="249"/>
      <c r="T111" s="243"/>
      <c r="U111" s="75">
        <v>248</v>
      </c>
      <c r="V111" s="249"/>
      <c r="W111" s="243"/>
      <c r="X111" s="75">
        <v>438</v>
      </c>
      <c r="Y111" s="249"/>
      <c r="Z111" s="243"/>
      <c r="AA111" s="75">
        <v>253</v>
      </c>
      <c r="AB111" s="249"/>
      <c r="AC111" s="243"/>
      <c r="AD111" s="75">
        <f>222+62+18+21</f>
        <v>323</v>
      </c>
      <c r="AE111" s="249"/>
      <c r="AF111" s="243"/>
      <c r="AG111" s="75">
        <f>75+108+51</f>
        <v>234</v>
      </c>
      <c r="AH111" s="249"/>
      <c r="AI111" s="243"/>
      <c r="AJ111" s="75">
        <f>217+378+92+189</f>
        <v>876</v>
      </c>
      <c r="AK111" s="249"/>
      <c r="AL111" s="243"/>
      <c r="AM111" s="75">
        <f>182+118+177+177</f>
        <v>654</v>
      </c>
      <c r="AN111" s="249"/>
      <c r="AO111" s="243"/>
      <c r="AP111" s="75">
        <f>204+5+86</f>
        <v>295</v>
      </c>
      <c r="AQ111" s="249"/>
      <c r="AR111" s="243"/>
      <c r="AS111" s="75">
        <f>34+134+254+38</f>
        <v>460</v>
      </c>
      <c r="AT111" s="249"/>
      <c r="AU111" s="243"/>
      <c r="AV111" s="75">
        <f>9+50+47+50</f>
        <v>156</v>
      </c>
      <c r="AW111" s="249"/>
      <c r="AX111" s="243"/>
      <c r="AY111" s="75">
        <f>15+6</f>
        <v>21</v>
      </c>
      <c r="AZ111" s="249"/>
      <c r="BA111" s="243"/>
      <c r="BB111" s="75">
        <f>23+19</f>
        <v>42</v>
      </c>
      <c r="BC111" s="249"/>
      <c r="BD111" s="243"/>
      <c r="BE111" s="75">
        <v>32</v>
      </c>
      <c r="BF111" s="249"/>
      <c r="BG111" s="243"/>
      <c r="BH111" s="75">
        <v>53</v>
      </c>
      <c r="BI111" s="249"/>
      <c r="BJ111" s="243"/>
      <c r="BK111" s="75">
        <v>178</v>
      </c>
      <c r="BL111" s="249"/>
      <c r="BM111" s="243"/>
      <c r="BN111" s="75">
        <f>132+164+1+14</f>
        <v>311</v>
      </c>
      <c r="BO111" s="249"/>
      <c r="BP111" s="243"/>
      <c r="BQ111" s="75">
        <f>264+34</f>
        <v>298</v>
      </c>
      <c r="BR111" s="249"/>
      <c r="BS111" s="243"/>
      <c r="BT111" s="75">
        <f t="shared" si="33"/>
        <v>914</v>
      </c>
      <c r="BU111" s="75">
        <v>94</v>
      </c>
      <c r="BV111" s="234"/>
      <c r="BW111" s="199"/>
      <c r="BX111" s="70">
        <f>135+100+18</f>
        <v>253</v>
      </c>
      <c r="BY111" s="234"/>
      <c r="BZ111" s="199"/>
      <c r="CA111" s="70">
        <v>284</v>
      </c>
      <c r="CB111" s="234"/>
      <c r="CC111" s="199"/>
      <c r="CD111" s="70">
        <f>101+25+92</f>
        <v>218</v>
      </c>
      <c r="CE111" s="234"/>
      <c r="CF111" s="199"/>
      <c r="CG111" s="70">
        <v>218</v>
      </c>
      <c r="CH111" s="234"/>
      <c r="CI111" s="199"/>
      <c r="CJ111" s="73">
        <v>200</v>
      </c>
      <c r="CK111" s="197"/>
      <c r="CL111" s="199"/>
      <c r="CM111" s="73">
        <f t="shared" si="34"/>
        <v>1267</v>
      </c>
      <c r="CN111" s="70">
        <v>0</v>
      </c>
      <c r="CO111" s="231"/>
      <c r="CP111" s="232"/>
      <c r="CQ111" s="70">
        <f>51+120+124</f>
        <v>295</v>
      </c>
      <c r="CR111" s="234"/>
      <c r="CS111" s="232"/>
      <c r="CT111" s="70">
        <v>43</v>
      </c>
      <c r="CU111" s="234"/>
      <c r="CV111" s="232"/>
      <c r="CW111" s="70">
        <f>3+82+210</f>
        <v>295</v>
      </c>
      <c r="CX111" s="220"/>
      <c r="CY111" s="232"/>
      <c r="CZ111" s="70">
        <v>302</v>
      </c>
      <c r="DA111" s="220"/>
      <c r="DB111" s="232"/>
      <c r="DC111" s="70">
        <f>384+175+12</f>
        <v>571</v>
      </c>
      <c r="DD111" s="220"/>
      <c r="DE111" s="96"/>
      <c r="DF111" s="70">
        <f t="shared" si="35"/>
        <v>1506</v>
      </c>
      <c r="DG111" s="268"/>
      <c r="DH111" s="70">
        <v>398</v>
      </c>
      <c r="DI111" s="220"/>
      <c r="DJ111" s="96"/>
      <c r="DK111" s="115">
        <v>384</v>
      </c>
      <c r="DL111" s="220"/>
      <c r="DM111" s="97"/>
      <c r="DN111" s="243"/>
    </row>
  </sheetData>
  <mergeCells count="3497">
    <mergeCell ref="DN68:DN69"/>
    <mergeCell ref="DN70:DN71"/>
    <mergeCell ref="DN72:DN73"/>
    <mergeCell ref="DN74:DN75"/>
    <mergeCell ref="DN76:DN77"/>
    <mergeCell ref="DN78:DN79"/>
    <mergeCell ref="DN80:DN81"/>
    <mergeCell ref="DN86:DN87"/>
    <mergeCell ref="DN88:DN89"/>
    <mergeCell ref="DN90:DN91"/>
    <mergeCell ref="DN94:DN95"/>
    <mergeCell ref="DN96:DN97"/>
    <mergeCell ref="DN100:DN101"/>
    <mergeCell ref="DN102:DN103"/>
    <mergeCell ref="DN104:DN105"/>
    <mergeCell ref="DN108:DN109"/>
    <mergeCell ref="DN110:DN111"/>
    <mergeCell ref="DN6:DN7"/>
    <mergeCell ref="DN8:DN9"/>
    <mergeCell ref="DN10:DN11"/>
    <mergeCell ref="DN12:DN13"/>
    <mergeCell ref="DN14:DN15"/>
    <mergeCell ref="DN16:DN17"/>
    <mergeCell ref="DN18:DN19"/>
    <mergeCell ref="DN20:DN21"/>
    <mergeCell ref="DN22:DN23"/>
    <mergeCell ref="DN26:DN27"/>
    <mergeCell ref="DN34:DN35"/>
    <mergeCell ref="DN36:DN37"/>
    <mergeCell ref="DN58:DN59"/>
    <mergeCell ref="DN60:DN61"/>
    <mergeCell ref="DN62:DN63"/>
    <mergeCell ref="DN64:DN65"/>
    <mergeCell ref="DN66:DN67"/>
    <mergeCell ref="DN52:DN53"/>
    <mergeCell ref="DN54:DN55"/>
    <mergeCell ref="DN56:DN57"/>
    <mergeCell ref="DD74:DD75"/>
    <mergeCell ref="DI74:DI75"/>
    <mergeCell ref="DL74:DL75"/>
    <mergeCell ref="DD80:DD81"/>
    <mergeCell ref="DL80:DL81"/>
    <mergeCell ref="DI80:DI81"/>
    <mergeCell ref="DD96:DD97"/>
    <mergeCell ref="DI96:DI97"/>
    <mergeCell ref="DL96:DL97"/>
    <mergeCell ref="DD102:DD103"/>
    <mergeCell ref="DI102:DI103"/>
    <mergeCell ref="DL102:DL103"/>
    <mergeCell ref="DD104:DD105"/>
    <mergeCell ref="DI104:DI105"/>
    <mergeCell ref="DL104:DL105"/>
    <mergeCell ref="DD62:DD63"/>
    <mergeCell ref="DI62:DI63"/>
    <mergeCell ref="DL62:DL63"/>
    <mergeCell ref="DD64:DD65"/>
    <mergeCell ref="DI64:DI65"/>
    <mergeCell ref="DL64:DL65"/>
    <mergeCell ref="DD66:DD67"/>
    <mergeCell ref="DI66:DI67"/>
    <mergeCell ref="DL66:DL67"/>
    <mergeCell ref="DD68:DD69"/>
    <mergeCell ref="DI68:DI69"/>
    <mergeCell ref="DL68:DL69"/>
    <mergeCell ref="DD70:DD71"/>
    <mergeCell ref="DI70:DI71"/>
    <mergeCell ref="DL70:DL71"/>
    <mergeCell ref="DD72:DD73"/>
    <mergeCell ref="DI72:DI73"/>
    <mergeCell ref="DL72:DL73"/>
    <mergeCell ref="DD34:DD35"/>
    <mergeCell ref="DI34:DI35"/>
    <mergeCell ref="DL34:DL35"/>
    <mergeCell ref="DD36:DD37"/>
    <mergeCell ref="DI36:DI37"/>
    <mergeCell ref="DL36:DL37"/>
    <mergeCell ref="DD56:DD57"/>
    <mergeCell ref="DI56:DI57"/>
    <mergeCell ref="DD54:DD55"/>
    <mergeCell ref="DI54:DI55"/>
    <mergeCell ref="DD52:DD53"/>
    <mergeCell ref="DI52:DI53"/>
    <mergeCell ref="DD58:DD59"/>
    <mergeCell ref="DI58:DI59"/>
    <mergeCell ref="DL58:DL59"/>
    <mergeCell ref="DD60:DD61"/>
    <mergeCell ref="DI60:DI61"/>
    <mergeCell ref="DL60:DL61"/>
    <mergeCell ref="DL52:DL53"/>
    <mergeCell ref="DL54:DL55"/>
    <mergeCell ref="DL56:DL57"/>
    <mergeCell ref="DD14:DD15"/>
    <mergeCell ref="DE14:DE15"/>
    <mergeCell ref="DI14:DI15"/>
    <mergeCell ref="DL6:DL7"/>
    <mergeCell ref="DL8:DL9"/>
    <mergeCell ref="DL10:DL11"/>
    <mergeCell ref="DL14:DL15"/>
    <mergeCell ref="DL76:DL77"/>
    <mergeCell ref="DL78:DL79"/>
    <mergeCell ref="DL86:DL87"/>
    <mergeCell ref="DL88:DL89"/>
    <mergeCell ref="DL90:DL91"/>
    <mergeCell ref="DL94:DL95"/>
    <mergeCell ref="DL100:DL101"/>
    <mergeCell ref="DL108:DL109"/>
    <mergeCell ref="DL12:DL13"/>
    <mergeCell ref="DI12:DI13"/>
    <mergeCell ref="DD16:DD17"/>
    <mergeCell ref="DI16:DI17"/>
    <mergeCell ref="DL16:DL17"/>
    <mergeCell ref="DD18:DD19"/>
    <mergeCell ref="DI18:DI19"/>
    <mergeCell ref="DL18:DL19"/>
    <mergeCell ref="DD20:DD21"/>
    <mergeCell ref="DI20:DI21"/>
    <mergeCell ref="DL20:DL21"/>
    <mergeCell ref="DD22:DD23"/>
    <mergeCell ref="DI22:DI23"/>
    <mergeCell ref="DL22:DL23"/>
    <mergeCell ref="DD26:DD27"/>
    <mergeCell ref="DI26:DI27"/>
    <mergeCell ref="DL26:DL27"/>
    <mergeCell ref="DJ108:DJ109"/>
    <mergeCell ref="DD6:DD7"/>
    <mergeCell ref="DE6:DE7"/>
    <mergeCell ref="DI6:DI7"/>
    <mergeCell ref="DG106:DG107"/>
    <mergeCell ref="DG108:DG109"/>
    <mergeCell ref="DG110:DG111"/>
    <mergeCell ref="DD76:DD77"/>
    <mergeCell ref="DD78:DD79"/>
    <mergeCell ref="DD86:DD87"/>
    <mergeCell ref="DD88:DD89"/>
    <mergeCell ref="DD90:DD91"/>
    <mergeCell ref="DD94:DD95"/>
    <mergeCell ref="DD100:DD101"/>
    <mergeCell ref="DE108:DE109"/>
    <mergeCell ref="DD108:DD109"/>
    <mergeCell ref="DI76:DI77"/>
    <mergeCell ref="DI78:DI79"/>
    <mergeCell ref="DI86:DI87"/>
    <mergeCell ref="DI88:DI89"/>
    <mergeCell ref="DI90:DI91"/>
    <mergeCell ref="DI94:DI95"/>
    <mergeCell ref="DI100:DI101"/>
    <mergeCell ref="DI108:DI109"/>
    <mergeCell ref="DG72:DG73"/>
    <mergeCell ref="DG74:DG75"/>
    <mergeCell ref="DG76:DG77"/>
    <mergeCell ref="DG78:DG79"/>
    <mergeCell ref="DG80:DG81"/>
    <mergeCell ref="DG82:DG83"/>
    <mergeCell ref="DG84:DG85"/>
    <mergeCell ref="DG86:DG87"/>
    <mergeCell ref="DG88:DG89"/>
    <mergeCell ref="DG90:DG91"/>
    <mergeCell ref="DG92:DG93"/>
    <mergeCell ref="DG94:DG95"/>
    <mergeCell ref="DG96:DG97"/>
    <mergeCell ref="DG98:DG99"/>
    <mergeCell ref="DG100:DG101"/>
    <mergeCell ref="DG102:DG103"/>
    <mergeCell ref="DG104:DG105"/>
    <mergeCell ref="DG38:DG39"/>
    <mergeCell ref="DG40:DG41"/>
    <mergeCell ref="DG42:DG43"/>
    <mergeCell ref="DG44:DG45"/>
    <mergeCell ref="DG46:DG47"/>
    <mergeCell ref="DG48:DG49"/>
    <mergeCell ref="DG50:DG51"/>
    <mergeCell ref="DG52:DG53"/>
    <mergeCell ref="DG54:DG55"/>
    <mergeCell ref="DG56:DG57"/>
    <mergeCell ref="DG58:DG59"/>
    <mergeCell ref="DG60:DG61"/>
    <mergeCell ref="DG62:DG63"/>
    <mergeCell ref="DG64:DG65"/>
    <mergeCell ref="DG66:DG67"/>
    <mergeCell ref="DG68:DG69"/>
    <mergeCell ref="DG70:DG71"/>
    <mergeCell ref="DG6:DG7"/>
    <mergeCell ref="DG8:DG9"/>
    <mergeCell ref="DG10:DG11"/>
    <mergeCell ref="DG12:DG13"/>
    <mergeCell ref="DG14:DG15"/>
    <mergeCell ref="DG16:DG17"/>
    <mergeCell ref="DG18:DG19"/>
    <mergeCell ref="DG20:DG21"/>
    <mergeCell ref="DG22:DG23"/>
    <mergeCell ref="DG24:DG25"/>
    <mergeCell ref="DG26:DG27"/>
    <mergeCell ref="DG28:DG29"/>
    <mergeCell ref="DG30:DG31"/>
    <mergeCell ref="DG32:DG33"/>
    <mergeCell ref="DG34:DG35"/>
    <mergeCell ref="DG36:DG37"/>
    <mergeCell ref="DA104:DA105"/>
    <mergeCell ref="DB104:DB105"/>
    <mergeCell ref="DA62:DA63"/>
    <mergeCell ref="DB62:DB63"/>
    <mergeCell ref="DA64:DA65"/>
    <mergeCell ref="DB64:DB65"/>
    <mergeCell ref="DA66:DA67"/>
    <mergeCell ref="DB66:DB67"/>
    <mergeCell ref="DA68:DA69"/>
    <mergeCell ref="DB68:DB69"/>
    <mergeCell ref="DA70:DA71"/>
    <mergeCell ref="DB70:DB71"/>
    <mergeCell ref="DA72:DA73"/>
    <mergeCell ref="DB72:DB73"/>
    <mergeCell ref="DA74:DA75"/>
    <mergeCell ref="DB74:DB75"/>
    <mergeCell ref="DA108:DA109"/>
    <mergeCell ref="DB108:DB109"/>
    <mergeCell ref="DA110:DA111"/>
    <mergeCell ref="DB110:DB111"/>
    <mergeCell ref="DA80:DA81"/>
    <mergeCell ref="DB80:DB81"/>
    <mergeCell ref="DA86:DA87"/>
    <mergeCell ref="DB86:DB87"/>
    <mergeCell ref="DA88:DA89"/>
    <mergeCell ref="DB88:DB89"/>
    <mergeCell ref="DA90:DA91"/>
    <mergeCell ref="DB90:DB91"/>
    <mergeCell ref="DA94:DA95"/>
    <mergeCell ref="DB94:DB95"/>
    <mergeCell ref="DA96:DA97"/>
    <mergeCell ref="DB96:DB97"/>
    <mergeCell ref="DA98:DA99"/>
    <mergeCell ref="DB98:DB99"/>
    <mergeCell ref="DA100:DA101"/>
    <mergeCell ref="DB100:DB101"/>
    <mergeCell ref="DA102:DA103"/>
    <mergeCell ref="DB102:DB103"/>
    <mergeCell ref="DA76:DA77"/>
    <mergeCell ref="DB76:DB77"/>
    <mergeCell ref="DA78:DA79"/>
    <mergeCell ref="DB78:DB79"/>
    <mergeCell ref="DA26:DA27"/>
    <mergeCell ref="DB26:DB27"/>
    <mergeCell ref="DA34:DA35"/>
    <mergeCell ref="DB34:DB35"/>
    <mergeCell ref="DA36:DA37"/>
    <mergeCell ref="DB36:DB37"/>
    <mergeCell ref="DA48:DA49"/>
    <mergeCell ref="DB48:DB49"/>
    <mergeCell ref="DA52:DA53"/>
    <mergeCell ref="DB52:DB53"/>
    <mergeCell ref="DA54:DA55"/>
    <mergeCell ref="DB54:DB55"/>
    <mergeCell ref="DA56:DA57"/>
    <mergeCell ref="DB56:DB57"/>
    <mergeCell ref="DA58:DA59"/>
    <mergeCell ref="DB58:DB59"/>
    <mergeCell ref="DA60:DA61"/>
    <mergeCell ref="DB60:DB61"/>
    <mergeCell ref="DA6:DA7"/>
    <mergeCell ref="DB6:DB7"/>
    <mergeCell ref="DA8:DA9"/>
    <mergeCell ref="DB8:DB9"/>
    <mergeCell ref="DA10:DA11"/>
    <mergeCell ref="DB10:DB11"/>
    <mergeCell ref="DA12:DA13"/>
    <mergeCell ref="DB12:DB13"/>
    <mergeCell ref="DA14:DA15"/>
    <mergeCell ref="DB14:DB15"/>
    <mergeCell ref="DA16:DA17"/>
    <mergeCell ref="DB16:DB17"/>
    <mergeCell ref="DA18:DA19"/>
    <mergeCell ref="DB18:DB19"/>
    <mergeCell ref="DA20:DA21"/>
    <mergeCell ref="DB20:DB21"/>
    <mergeCell ref="DA22:DA23"/>
    <mergeCell ref="DB22:DB23"/>
    <mergeCell ref="CX104:CX105"/>
    <mergeCell ref="CY104:CY105"/>
    <mergeCell ref="CX108:CX109"/>
    <mergeCell ref="CY108:CY109"/>
    <mergeCell ref="CX110:CX111"/>
    <mergeCell ref="CY110:CY111"/>
    <mergeCell ref="CX80:CX81"/>
    <mergeCell ref="CY80:CY81"/>
    <mergeCell ref="CX86:CX87"/>
    <mergeCell ref="CY86:CY87"/>
    <mergeCell ref="CX88:CX89"/>
    <mergeCell ref="CY88:CY89"/>
    <mergeCell ref="CX90:CX91"/>
    <mergeCell ref="CY90:CY91"/>
    <mergeCell ref="CX94:CX95"/>
    <mergeCell ref="CY94:CY95"/>
    <mergeCell ref="CX96:CX97"/>
    <mergeCell ref="CY96:CY97"/>
    <mergeCell ref="CX98:CX99"/>
    <mergeCell ref="CY98:CY99"/>
    <mergeCell ref="CX100:CX101"/>
    <mergeCell ref="CY100:CY101"/>
    <mergeCell ref="CX102:CX103"/>
    <mergeCell ref="CY102:CY103"/>
    <mergeCell ref="CX62:CX63"/>
    <mergeCell ref="CY62:CY63"/>
    <mergeCell ref="CX64:CX65"/>
    <mergeCell ref="CY64:CY65"/>
    <mergeCell ref="CX66:CX67"/>
    <mergeCell ref="CY66:CY67"/>
    <mergeCell ref="CX68:CX69"/>
    <mergeCell ref="CY68:CY69"/>
    <mergeCell ref="CX70:CX71"/>
    <mergeCell ref="CY70:CY71"/>
    <mergeCell ref="CX72:CX73"/>
    <mergeCell ref="CY72:CY73"/>
    <mergeCell ref="CX74:CX75"/>
    <mergeCell ref="CY74:CY75"/>
    <mergeCell ref="CX76:CX77"/>
    <mergeCell ref="CY76:CY77"/>
    <mergeCell ref="CX78:CX79"/>
    <mergeCell ref="CY78:CY79"/>
    <mergeCell ref="CX26:CX27"/>
    <mergeCell ref="CY26:CY27"/>
    <mergeCell ref="CX34:CX35"/>
    <mergeCell ref="CY34:CY35"/>
    <mergeCell ref="CX36:CX37"/>
    <mergeCell ref="CY36:CY37"/>
    <mergeCell ref="CX48:CX49"/>
    <mergeCell ref="CY48:CY49"/>
    <mergeCell ref="CX52:CX53"/>
    <mergeCell ref="CY52:CY53"/>
    <mergeCell ref="CX54:CX55"/>
    <mergeCell ref="CY54:CY55"/>
    <mergeCell ref="CX56:CX57"/>
    <mergeCell ref="CY56:CY57"/>
    <mergeCell ref="CX58:CX59"/>
    <mergeCell ref="CY58:CY59"/>
    <mergeCell ref="CX60:CX61"/>
    <mergeCell ref="CY60:CY61"/>
    <mergeCell ref="CX6:CX7"/>
    <mergeCell ref="CY6:CY7"/>
    <mergeCell ref="CX8:CX9"/>
    <mergeCell ref="CY8:CY9"/>
    <mergeCell ref="CX10:CX11"/>
    <mergeCell ref="CY10:CY11"/>
    <mergeCell ref="CX12:CX13"/>
    <mergeCell ref="CY12:CY13"/>
    <mergeCell ref="CX14:CX15"/>
    <mergeCell ref="CY14:CY15"/>
    <mergeCell ref="CX16:CX17"/>
    <mergeCell ref="CY16:CY17"/>
    <mergeCell ref="CX18:CX19"/>
    <mergeCell ref="CY18:CY19"/>
    <mergeCell ref="CX20:CX21"/>
    <mergeCell ref="CY20:CY21"/>
    <mergeCell ref="CX22:CX23"/>
    <mergeCell ref="CY22:CY23"/>
    <mergeCell ref="CO100:CO101"/>
    <mergeCell ref="CP100:CP101"/>
    <mergeCell ref="CR100:CR101"/>
    <mergeCell ref="CS100:CS101"/>
    <mergeCell ref="CO102:CO103"/>
    <mergeCell ref="CP102:CP103"/>
    <mergeCell ref="CR102:CR103"/>
    <mergeCell ref="CS102:CS103"/>
    <mergeCell ref="CO104:CO105"/>
    <mergeCell ref="CP104:CP105"/>
    <mergeCell ref="CR104:CR105"/>
    <mergeCell ref="CS104:CS105"/>
    <mergeCell ref="CO108:CO109"/>
    <mergeCell ref="CP108:CP109"/>
    <mergeCell ref="CO110:CO111"/>
    <mergeCell ref="CP110:CP111"/>
    <mergeCell ref="CR108:CR109"/>
    <mergeCell ref="CS108:CS109"/>
    <mergeCell ref="CR110:CR111"/>
    <mergeCell ref="CS110:CS111"/>
    <mergeCell ref="CO96:CO97"/>
    <mergeCell ref="CP96:CP97"/>
    <mergeCell ref="CR96:CR97"/>
    <mergeCell ref="CS96:CS97"/>
    <mergeCell ref="CO52:CO53"/>
    <mergeCell ref="CP52:CP53"/>
    <mergeCell ref="CR52:CR53"/>
    <mergeCell ref="CS52:CS53"/>
    <mergeCell ref="CO54:CO55"/>
    <mergeCell ref="CP54:CP55"/>
    <mergeCell ref="CR54:CR55"/>
    <mergeCell ref="CS54:CS55"/>
    <mergeCell ref="CO56:CO57"/>
    <mergeCell ref="CP56:CP57"/>
    <mergeCell ref="CR56:CR57"/>
    <mergeCell ref="CS56:CS57"/>
    <mergeCell ref="CO98:CO99"/>
    <mergeCell ref="CP98:CP99"/>
    <mergeCell ref="CR98:CR99"/>
    <mergeCell ref="CS98:CS99"/>
    <mergeCell ref="CO80:CO81"/>
    <mergeCell ref="CP80:CP81"/>
    <mergeCell ref="CR80:CR81"/>
    <mergeCell ref="CS80:CS81"/>
    <mergeCell ref="CO86:CO87"/>
    <mergeCell ref="CP86:CP87"/>
    <mergeCell ref="CR86:CR87"/>
    <mergeCell ref="CS86:CS87"/>
    <mergeCell ref="CO88:CO89"/>
    <mergeCell ref="CP88:CP89"/>
    <mergeCell ref="CR88:CR89"/>
    <mergeCell ref="CS88:CS89"/>
    <mergeCell ref="CO90:CO91"/>
    <mergeCell ref="CP90:CP91"/>
    <mergeCell ref="CR90:CR91"/>
    <mergeCell ref="CS90:CS91"/>
    <mergeCell ref="CO94:CO95"/>
    <mergeCell ref="CP94:CP95"/>
    <mergeCell ref="CR94:CR95"/>
    <mergeCell ref="CS94:CS95"/>
    <mergeCell ref="CO70:CO71"/>
    <mergeCell ref="CP70:CP71"/>
    <mergeCell ref="CR70:CR71"/>
    <mergeCell ref="CS70:CS71"/>
    <mergeCell ref="CO72:CO73"/>
    <mergeCell ref="CP72:CP73"/>
    <mergeCell ref="CR72:CR73"/>
    <mergeCell ref="CS72:CS73"/>
    <mergeCell ref="CO74:CO75"/>
    <mergeCell ref="CP74:CP75"/>
    <mergeCell ref="CR74:CR75"/>
    <mergeCell ref="CS74:CS75"/>
    <mergeCell ref="CO76:CO77"/>
    <mergeCell ref="CP76:CP77"/>
    <mergeCell ref="CR76:CR77"/>
    <mergeCell ref="CS76:CS77"/>
    <mergeCell ref="CO78:CO79"/>
    <mergeCell ref="CP78:CP79"/>
    <mergeCell ref="CR78:CR79"/>
    <mergeCell ref="CS78:CS79"/>
    <mergeCell ref="CO60:CO61"/>
    <mergeCell ref="CP60:CP61"/>
    <mergeCell ref="CR60:CR61"/>
    <mergeCell ref="CS60:CS61"/>
    <mergeCell ref="CO62:CO63"/>
    <mergeCell ref="CP62:CP63"/>
    <mergeCell ref="CR62:CR63"/>
    <mergeCell ref="CS62:CS63"/>
    <mergeCell ref="CO64:CO65"/>
    <mergeCell ref="CP64:CP65"/>
    <mergeCell ref="CR64:CR65"/>
    <mergeCell ref="CS64:CS65"/>
    <mergeCell ref="CO66:CO67"/>
    <mergeCell ref="CP66:CP67"/>
    <mergeCell ref="CR66:CR67"/>
    <mergeCell ref="CS66:CS67"/>
    <mergeCell ref="CO68:CO69"/>
    <mergeCell ref="CP68:CP69"/>
    <mergeCell ref="CR68:CR69"/>
    <mergeCell ref="CS68:CS69"/>
    <mergeCell ref="CO26:CO27"/>
    <mergeCell ref="CP26:CP27"/>
    <mergeCell ref="CR26:CR27"/>
    <mergeCell ref="CS26:CS27"/>
    <mergeCell ref="CO34:CO35"/>
    <mergeCell ref="CP34:CP35"/>
    <mergeCell ref="CR34:CR35"/>
    <mergeCell ref="CS34:CS35"/>
    <mergeCell ref="CO36:CO37"/>
    <mergeCell ref="CP36:CP37"/>
    <mergeCell ref="CR36:CR37"/>
    <mergeCell ref="CS36:CS37"/>
    <mergeCell ref="CO48:CO49"/>
    <mergeCell ref="CP48:CP49"/>
    <mergeCell ref="CR48:CR49"/>
    <mergeCell ref="CS48:CS49"/>
    <mergeCell ref="CO58:CO59"/>
    <mergeCell ref="CP58:CP59"/>
    <mergeCell ref="CR58:CR59"/>
    <mergeCell ref="CS58:CS59"/>
    <mergeCell ref="CO14:CO15"/>
    <mergeCell ref="CP14:CP15"/>
    <mergeCell ref="CR14:CR15"/>
    <mergeCell ref="CS14:CS15"/>
    <mergeCell ref="CO16:CO17"/>
    <mergeCell ref="CP16:CP17"/>
    <mergeCell ref="CR16:CR17"/>
    <mergeCell ref="CS16:CS17"/>
    <mergeCell ref="CO18:CO19"/>
    <mergeCell ref="CP18:CP19"/>
    <mergeCell ref="CR18:CR19"/>
    <mergeCell ref="CS18:CS19"/>
    <mergeCell ref="CO20:CO21"/>
    <mergeCell ref="CP20:CP21"/>
    <mergeCell ref="CR20:CR21"/>
    <mergeCell ref="CS20:CS21"/>
    <mergeCell ref="CO22:CO23"/>
    <mergeCell ref="CP22:CP23"/>
    <mergeCell ref="CR22:CR23"/>
    <mergeCell ref="CS22:CS23"/>
    <mergeCell ref="CK106:CK107"/>
    <mergeCell ref="CK108:CK109"/>
    <mergeCell ref="CL108:CL109"/>
    <mergeCell ref="CK110:CK111"/>
    <mergeCell ref="CL110:CL111"/>
    <mergeCell ref="CK80:CK81"/>
    <mergeCell ref="CK82:CK83"/>
    <mergeCell ref="CK84:CK85"/>
    <mergeCell ref="CK86:CK87"/>
    <mergeCell ref="CL86:CL87"/>
    <mergeCell ref="CK88:CK89"/>
    <mergeCell ref="CL88:CL89"/>
    <mergeCell ref="CK90:CK91"/>
    <mergeCell ref="CL90:CL91"/>
    <mergeCell ref="CK92:CK93"/>
    <mergeCell ref="CK94:CK95"/>
    <mergeCell ref="CL94:CL95"/>
    <mergeCell ref="CK96:CK97"/>
    <mergeCell ref="CL96:CL97"/>
    <mergeCell ref="CK98:CK99"/>
    <mergeCell ref="CL98:CL99"/>
    <mergeCell ref="CK58:CK59"/>
    <mergeCell ref="CK60:CK61"/>
    <mergeCell ref="CK62:CK63"/>
    <mergeCell ref="CK64:CK65"/>
    <mergeCell ref="CK66:CK67"/>
    <mergeCell ref="CK68:CK69"/>
    <mergeCell ref="CK70:CK71"/>
    <mergeCell ref="CK72:CK73"/>
    <mergeCell ref="CK74:CK75"/>
    <mergeCell ref="CK76:CK77"/>
    <mergeCell ref="CK78:CK79"/>
    <mergeCell ref="CK100:CK101"/>
    <mergeCell ref="CL100:CL101"/>
    <mergeCell ref="CK102:CK103"/>
    <mergeCell ref="CL102:CL103"/>
    <mergeCell ref="CK104:CK105"/>
    <mergeCell ref="CL104:CL105"/>
    <mergeCell ref="CK32:CK33"/>
    <mergeCell ref="CK34:CK35"/>
    <mergeCell ref="CL34:CL35"/>
    <mergeCell ref="CK36:CK37"/>
    <mergeCell ref="CL36:CL37"/>
    <mergeCell ref="CK38:CK39"/>
    <mergeCell ref="CK40:CK41"/>
    <mergeCell ref="CK42:CK43"/>
    <mergeCell ref="CK44:CK45"/>
    <mergeCell ref="CK46:CK47"/>
    <mergeCell ref="CK48:CK49"/>
    <mergeCell ref="CK50:CK51"/>
    <mergeCell ref="CK52:CK53"/>
    <mergeCell ref="CL52:CL53"/>
    <mergeCell ref="CK54:CK55"/>
    <mergeCell ref="CL54:CL55"/>
    <mergeCell ref="CK56:CK57"/>
    <mergeCell ref="CL56:CL57"/>
    <mergeCell ref="CH100:CH101"/>
    <mergeCell ref="CI100:CI101"/>
    <mergeCell ref="CH102:CH103"/>
    <mergeCell ref="CI102:CI103"/>
    <mergeCell ref="CH104:CH105"/>
    <mergeCell ref="CI104:CI105"/>
    <mergeCell ref="CH106:CH107"/>
    <mergeCell ref="CH108:CH109"/>
    <mergeCell ref="CI108:CI109"/>
    <mergeCell ref="CH110:CH111"/>
    <mergeCell ref="CI110:CI111"/>
    <mergeCell ref="CK6:CK7"/>
    <mergeCell ref="CL6:CL7"/>
    <mergeCell ref="CK8:CK9"/>
    <mergeCell ref="CL8:CL9"/>
    <mergeCell ref="CK10:CK11"/>
    <mergeCell ref="CL10:CL11"/>
    <mergeCell ref="CK12:CK13"/>
    <mergeCell ref="CL12:CL13"/>
    <mergeCell ref="CK14:CK15"/>
    <mergeCell ref="CL14:CL15"/>
    <mergeCell ref="CK16:CK17"/>
    <mergeCell ref="CL16:CL17"/>
    <mergeCell ref="CK18:CK19"/>
    <mergeCell ref="CK20:CK21"/>
    <mergeCell ref="CL20:CL21"/>
    <mergeCell ref="CK22:CK23"/>
    <mergeCell ref="CK24:CK25"/>
    <mergeCell ref="CK26:CK27"/>
    <mergeCell ref="CL26:CL27"/>
    <mergeCell ref="CK28:CK29"/>
    <mergeCell ref="CK30:CK31"/>
    <mergeCell ref="CH80:CH81"/>
    <mergeCell ref="CI80:CI81"/>
    <mergeCell ref="CH82:CH83"/>
    <mergeCell ref="CH84:CH85"/>
    <mergeCell ref="CH86:CH87"/>
    <mergeCell ref="CI86:CI87"/>
    <mergeCell ref="CH88:CH89"/>
    <mergeCell ref="CI88:CI89"/>
    <mergeCell ref="CH90:CH91"/>
    <mergeCell ref="CI90:CI91"/>
    <mergeCell ref="CH92:CH93"/>
    <mergeCell ref="CH94:CH95"/>
    <mergeCell ref="CI94:CI95"/>
    <mergeCell ref="CH96:CH97"/>
    <mergeCell ref="CI96:CI97"/>
    <mergeCell ref="CH98:CH99"/>
    <mergeCell ref="CI98:CI99"/>
    <mergeCell ref="CH54:CH55"/>
    <mergeCell ref="CI54:CI55"/>
    <mergeCell ref="CH56:CH57"/>
    <mergeCell ref="CI56:CI57"/>
    <mergeCell ref="CH58:CH59"/>
    <mergeCell ref="CH60:CH61"/>
    <mergeCell ref="CH62:CH63"/>
    <mergeCell ref="CI62:CI63"/>
    <mergeCell ref="CH64:CH65"/>
    <mergeCell ref="CH66:CH67"/>
    <mergeCell ref="CH68:CH69"/>
    <mergeCell ref="CH70:CH71"/>
    <mergeCell ref="CH72:CH73"/>
    <mergeCell ref="CH74:CH75"/>
    <mergeCell ref="CH76:CH77"/>
    <mergeCell ref="CI76:CI77"/>
    <mergeCell ref="CH78:CH79"/>
    <mergeCell ref="CI78:CI79"/>
    <mergeCell ref="CH26:CH27"/>
    <mergeCell ref="CI26:CI27"/>
    <mergeCell ref="CH28:CH29"/>
    <mergeCell ref="CH30:CH31"/>
    <mergeCell ref="CH32:CH33"/>
    <mergeCell ref="CH34:CH35"/>
    <mergeCell ref="CI34:CI35"/>
    <mergeCell ref="CH36:CH37"/>
    <mergeCell ref="CI36:CI37"/>
    <mergeCell ref="CH38:CH39"/>
    <mergeCell ref="CH40:CH41"/>
    <mergeCell ref="CH42:CH43"/>
    <mergeCell ref="CH44:CH45"/>
    <mergeCell ref="CH46:CH47"/>
    <mergeCell ref="CH48:CH49"/>
    <mergeCell ref="CH50:CH51"/>
    <mergeCell ref="CH52:CH53"/>
    <mergeCell ref="CI52:CI53"/>
    <mergeCell ref="CH6:CH7"/>
    <mergeCell ref="CI6:CI7"/>
    <mergeCell ref="CH8:CH9"/>
    <mergeCell ref="CI8:CI9"/>
    <mergeCell ref="CH10:CH11"/>
    <mergeCell ref="CI10:CI11"/>
    <mergeCell ref="CH12:CH13"/>
    <mergeCell ref="CI12:CI13"/>
    <mergeCell ref="CH14:CH15"/>
    <mergeCell ref="CI14:CI15"/>
    <mergeCell ref="CH16:CH17"/>
    <mergeCell ref="CI16:CI17"/>
    <mergeCell ref="CH18:CH19"/>
    <mergeCell ref="CH20:CH21"/>
    <mergeCell ref="CI20:CI21"/>
    <mergeCell ref="CH22:CH23"/>
    <mergeCell ref="CH24:CH25"/>
    <mergeCell ref="BY96:BY97"/>
    <mergeCell ref="BY98:BY99"/>
    <mergeCell ref="BY100:BY101"/>
    <mergeCell ref="BY102:BY103"/>
    <mergeCell ref="BY104:BY105"/>
    <mergeCell ref="BY64:BY65"/>
    <mergeCell ref="BY66:BY67"/>
    <mergeCell ref="BY68:BY69"/>
    <mergeCell ref="BY70:BY71"/>
    <mergeCell ref="BY72:BY73"/>
    <mergeCell ref="BW102:BW103"/>
    <mergeCell ref="BZ102:BZ103"/>
    <mergeCell ref="BW104:BW105"/>
    <mergeCell ref="BW108:BW109"/>
    <mergeCell ref="BZ108:BZ109"/>
    <mergeCell ref="BW110:BW111"/>
    <mergeCell ref="BZ110:BZ111"/>
    <mergeCell ref="BW78:BW79"/>
    <mergeCell ref="BZ78:BZ79"/>
    <mergeCell ref="BW80:BW81"/>
    <mergeCell ref="BZ80:BZ81"/>
    <mergeCell ref="BW86:BW87"/>
    <mergeCell ref="BZ86:BZ87"/>
    <mergeCell ref="BW88:BW89"/>
    <mergeCell ref="BZ88:BZ89"/>
    <mergeCell ref="BW90:BW91"/>
    <mergeCell ref="BZ90:BZ91"/>
    <mergeCell ref="BW94:BW95"/>
    <mergeCell ref="BZ94:BZ95"/>
    <mergeCell ref="BW100:BW101"/>
    <mergeCell ref="BZ100:BZ101"/>
    <mergeCell ref="BY84:BY85"/>
    <mergeCell ref="BY86:BY87"/>
    <mergeCell ref="BY88:BY89"/>
    <mergeCell ref="BY90:BY91"/>
    <mergeCell ref="BY92:BY93"/>
    <mergeCell ref="BY94:BY95"/>
    <mergeCell ref="BZ6:BZ7"/>
    <mergeCell ref="BW8:BW9"/>
    <mergeCell ref="BZ8:BZ9"/>
    <mergeCell ref="BW10:BW11"/>
    <mergeCell ref="BZ10:BZ11"/>
    <mergeCell ref="BW14:BW15"/>
    <mergeCell ref="BZ14:BZ15"/>
    <mergeCell ref="BW16:BW17"/>
    <mergeCell ref="BZ16:BZ17"/>
    <mergeCell ref="BW20:BW21"/>
    <mergeCell ref="BZ20:BZ21"/>
    <mergeCell ref="BW26:BW27"/>
    <mergeCell ref="BZ26:BZ27"/>
    <mergeCell ref="BW34:BW35"/>
    <mergeCell ref="BZ34:BZ35"/>
    <mergeCell ref="BW36:BW37"/>
    <mergeCell ref="BZ36:BZ37"/>
    <mergeCell ref="BY40:BY41"/>
    <mergeCell ref="BY42:BY43"/>
    <mergeCell ref="BY44:BY45"/>
    <mergeCell ref="BY46:BY47"/>
    <mergeCell ref="BY48:BY49"/>
    <mergeCell ref="BY74:BY75"/>
    <mergeCell ref="BY76:BY77"/>
    <mergeCell ref="BY78:BY79"/>
    <mergeCell ref="BY80:BY81"/>
    <mergeCell ref="BY82:BY83"/>
    <mergeCell ref="BV94:BV95"/>
    <mergeCell ref="BV96:BV97"/>
    <mergeCell ref="BV98:BV99"/>
    <mergeCell ref="BV100:BV101"/>
    <mergeCell ref="BV102:BV103"/>
    <mergeCell ref="BV104:BV105"/>
    <mergeCell ref="BV106:BV107"/>
    <mergeCell ref="BV108:BV109"/>
    <mergeCell ref="BV110:BV111"/>
    <mergeCell ref="BW6:BW7"/>
    <mergeCell ref="BY6:BY7"/>
    <mergeCell ref="BY8:BY9"/>
    <mergeCell ref="BY10:BY11"/>
    <mergeCell ref="BY12:BY13"/>
    <mergeCell ref="BY14:BY15"/>
    <mergeCell ref="BY16:BY17"/>
    <mergeCell ref="BY18:BY19"/>
    <mergeCell ref="BY20:BY21"/>
    <mergeCell ref="BY22:BY23"/>
    <mergeCell ref="BY24:BY25"/>
    <mergeCell ref="BY26:BY27"/>
    <mergeCell ref="BY28:BY29"/>
    <mergeCell ref="BY30:BY31"/>
    <mergeCell ref="BY32:BY33"/>
    <mergeCell ref="BY34:BY35"/>
    <mergeCell ref="BY36:BY37"/>
    <mergeCell ref="BY38:BY39"/>
    <mergeCell ref="BY106:BY107"/>
    <mergeCell ref="BY108:BY109"/>
    <mergeCell ref="BY110:BY111"/>
    <mergeCell ref="BY50:BY51"/>
    <mergeCell ref="BY52:BY53"/>
    <mergeCell ref="BV60:BV61"/>
    <mergeCell ref="BV62:BV63"/>
    <mergeCell ref="BV64:BV65"/>
    <mergeCell ref="BV66:BV67"/>
    <mergeCell ref="BV68:BV69"/>
    <mergeCell ref="BV70:BV71"/>
    <mergeCell ref="BV72:BV73"/>
    <mergeCell ref="BV74:BV75"/>
    <mergeCell ref="BV76:BV77"/>
    <mergeCell ref="BV78:BV79"/>
    <mergeCell ref="BV80:BV81"/>
    <mergeCell ref="BV82:BV83"/>
    <mergeCell ref="BV50:BV51"/>
    <mergeCell ref="BV52:BV53"/>
    <mergeCell ref="BV54:BV55"/>
    <mergeCell ref="BV56:BV57"/>
    <mergeCell ref="BV58:BV59"/>
    <mergeCell ref="BY54:BY55"/>
    <mergeCell ref="BY56:BY57"/>
    <mergeCell ref="BY58:BY59"/>
    <mergeCell ref="BY60:BY61"/>
    <mergeCell ref="BY62:BY63"/>
    <mergeCell ref="BV84:BV85"/>
    <mergeCell ref="BV86:BV87"/>
    <mergeCell ref="BV88:BV89"/>
    <mergeCell ref="BV90:BV91"/>
    <mergeCell ref="BV92:BV93"/>
    <mergeCell ref="BW96:BW97"/>
    <mergeCell ref="BZ96:BZ97"/>
    <mergeCell ref="BW98:BW99"/>
    <mergeCell ref="BZ98:BZ99"/>
    <mergeCell ref="BZ104:BZ105"/>
    <mergeCell ref="BV6:BV7"/>
    <mergeCell ref="BV8:BV9"/>
    <mergeCell ref="BV10:BV11"/>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V40:BV41"/>
    <mergeCell ref="BV42:BV43"/>
    <mergeCell ref="BV44:BV45"/>
    <mergeCell ref="BV46:BV47"/>
    <mergeCell ref="BV48:BV49"/>
    <mergeCell ref="AI2:AI3"/>
    <mergeCell ref="AK2:AK3"/>
    <mergeCell ref="AL2:AL3"/>
    <mergeCell ref="S4:S5"/>
    <mergeCell ref="T4:T5"/>
    <mergeCell ref="V4:V5"/>
    <mergeCell ref="A1:B1"/>
    <mergeCell ref="A2:A3"/>
    <mergeCell ref="D2:D3"/>
    <mergeCell ref="G2:G3"/>
    <mergeCell ref="J2:J3"/>
    <mergeCell ref="M2:M3"/>
    <mergeCell ref="BI2:BI3"/>
    <mergeCell ref="BJ2:BJ3"/>
    <mergeCell ref="BL2:BL3"/>
    <mergeCell ref="BM2:BM3"/>
    <mergeCell ref="A4:A5"/>
    <mergeCell ref="D4:D5"/>
    <mergeCell ref="G4:G5"/>
    <mergeCell ref="J4:J5"/>
    <mergeCell ref="M4:M5"/>
    <mergeCell ref="AX2:AX3"/>
    <mergeCell ref="AZ2:AZ3"/>
    <mergeCell ref="BA2:BA3"/>
    <mergeCell ref="BC2:BC3"/>
    <mergeCell ref="BD2:BD3"/>
    <mergeCell ref="BF2:BF3"/>
    <mergeCell ref="AO2:AO3"/>
    <mergeCell ref="AQ2:AQ3"/>
    <mergeCell ref="AR2:AR3"/>
    <mergeCell ref="AT2:AT3"/>
    <mergeCell ref="AU2:AU3"/>
    <mergeCell ref="AW2:AW3"/>
    <mergeCell ref="AF2:AF3"/>
    <mergeCell ref="AH2:AH3"/>
    <mergeCell ref="BG2:BG3"/>
    <mergeCell ref="AE2:AE3"/>
    <mergeCell ref="N2:N3"/>
    <mergeCell ref="P2:P3"/>
    <mergeCell ref="Q2:Q3"/>
    <mergeCell ref="S2:S3"/>
    <mergeCell ref="T2:T3"/>
    <mergeCell ref="V2:V3"/>
    <mergeCell ref="AC6:AC7"/>
    <mergeCell ref="AE6:AE7"/>
    <mergeCell ref="N6:N7"/>
    <mergeCell ref="P6:P7"/>
    <mergeCell ref="Q6:Q7"/>
    <mergeCell ref="S6:S7"/>
    <mergeCell ref="T6:T7"/>
    <mergeCell ref="V6:V7"/>
    <mergeCell ref="BG4:BG5"/>
    <mergeCell ref="AN2:AN3"/>
    <mergeCell ref="W2:W3"/>
    <mergeCell ref="Y2:Y3"/>
    <mergeCell ref="Z2:Z3"/>
    <mergeCell ref="AB2:AB3"/>
    <mergeCell ref="AC2:AC3"/>
    <mergeCell ref="AI4:AI5"/>
    <mergeCell ref="AK4:AK5"/>
    <mergeCell ref="AL4:AL5"/>
    <mergeCell ref="AN4:AN5"/>
    <mergeCell ref="W4:W5"/>
    <mergeCell ref="Y4:Y5"/>
    <mergeCell ref="BI4:BI5"/>
    <mergeCell ref="BJ4:BJ5"/>
    <mergeCell ref="BL4:BL5"/>
    <mergeCell ref="BM4:BM5"/>
    <mergeCell ref="A6:A7"/>
    <mergeCell ref="D6:D7"/>
    <mergeCell ref="G6:G7"/>
    <mergeCell ref="J6:J7"/>
    <mergeCell ref="M6:M7"/>
    <mergeCell ref="AX4:AX5"/>
    <mergeCell ref="AZ4:AZ5"/>
    <mergeCell ref="BA4:BA5"/>
    <mergeCell ref="BC4:BC5"/>
    <mergeCell ref="BD4:BD5"/>
    <mergeCell ref="BF4:BF5"/>
    <mergeCell ref="AO4:AO5"/>
    <mergeCell ref="AQ4:AQ5"/>
    <mergeCell ref="AR4:AR5"/>
    <mergeCell ref="AT4:AT5"/>
    <mergeCell ref="AU4:AU5"/>
    <mergeCell ref="AW4:AW5"/>
    <mergeCell ref="AF4:AF5"/>
    <mergeCell ref="AH4:AH5"/>
    <mergeCell ref="BG6:BG7"/>
    <mergeCell ref="BI6:BI7"/>
    <mergeCell ref="BJ6:BJ7"/>
    <mergeCell ref="BL6:BL7"/>
    <mergeCell ref="BM6:BM7"/>
    <mergeCell ref="AE4:AE5"/>
    <mergeCell ref="N4:N5"/>
    <mergeCell ref="P4:P5"/>
    <mergeCell ref="Q4:Q5"/>
    <mergeCell ref="A8:A9"/>
    <mergeCell ref="D8:D9"/>
    <mergeCell ref="G8:G9"/>
    <mergeCell ref="J8:J9"/>
    <mergeCell ref="M8:M9"/>
    <mergeCell ref="AX6:AX7"/>
    <mergeCell ref="AZ6:AZ7"/>
    <mergeCell ref="BA6:BA7"/>
    <mergeCell ref="BC6:BC7"/>
    <mergeCell ref="BD6:BD7"/>
    <mergeCell ref="BF6:BF7"/>
    <mergeCell ref="AO6:AO7"/>
    <mergeCell ref="AQ6:AQ7"/>
    <mergeCell ref="AR6:AR7"/>
    <mergeCell ref="AT6:AT7"/>
    <mergeCell ref="AU6:AU7"/>
    <mergeCell ref="AW6:AW7"/>
    <mergeCell ref="AF6:AF7"/>
    <mergeCell ref="AH6:AH7"/>
    <mergeCell ref="AI6:AI7"/>
    <mergeCell ref="AK6:AK7"/>
    <mergeCell ref="AL6:AL7"/>
    <mergeCell ref="AN6:AN7"/>
    <mergeCell ref="W6:W7"/>
    <mergeCell ref="Y6:Y7"/>
    <mergeCell ref="Z6:Z7"/>
    <mergeCell ref="AB6:AB7"/>
    <mergeCell ref="Z8:Z9"/>
    <mergeCell ref="AB8:AB9"/>
    <mergeCell ref="AC8:AC9"/>
    <mergeCell ref="Z4:Z5"/>
    <mergeCell ref="AB4:AB5"/>
    <mergeCell ref="AC4:AC5"/>
    <mergeCell ref="BI8:BI9"/>
    <mergeCell ref="BJ8:BJ9"/>
    <mergeCell ref="BL8:BL9"/>
    <mergeCell ref="BM8:BM9"/>
    <mergeCell ref="A10:A11"/>
    <mergeCell ref="D10:D11"/>
    <mergeCell ref="G10:G11"/>
    <mergeCell ref="J10:J11"/>
    <mergeCell ref="M10:M11"/>
    <mergeCell ref="AX8:AX9"/>
    <mergeCell ref="AZ8:AZ9"/>
    <mergeCell ref="BA8:BA9"/>
    <mergeCell ref="BC8:BC9"/>
    <mergeCell ref="BD8:BD9"/>
    <mergeCell ref="BF8:BF9"/>
    <mergeCell ref="AO8:AO9"/>
    <mergeCell ref="AQ8:AQ9"/>
    <mergeCell ref="AR8:AR9"/>
    <mergeCell ref="AT8:AT9"/>
    <mergeCell ref="AU8:AU9"/>
    <mergeCell ref="AW8:AW9"/>
    <mergeCell ref="AF8:AF9"/>
    <mergeCell ref="AH8:AH9"/>
    <mergeCell ref="AI8:AI9"/>
    <mergeCell ref="AK8:AK9"/>
    <mergeCell ref="AL8:AL9"/>
    <mergeCell ref="BG8:BG9"/>
    <mergeCell ref="AE8:AE9"/>
    <mergeCell ref="N8:N9"/>
    <mergeCell ref="P8:P9"/>
    <mergeCell ref="Q8:Q9"/>
    <mergeCell ref="S8:S9"/>
    <mergeCell ref="T8:T9"/>
    <mergeCell ref="V8:V9"/>
    <mergeCell ref="AC12:AC13"/>
    <mergeCell ref="AE12:AE13"/>
    <mergeCell ref="N12:N13"/>
    <mergeCell ref="P12:P13"/>
    <mergeCell ref="Q12:Q13"/>
    <mergeCell ref="S12:S13"/>
    <mergeCell ref="T12:T13"/>
    <mergeCell ref="V12:V13"/>
    <mergeCell ref="BG10:BG11"/>
    <mergeCell ref="AN8:AN9"/>
    <mergeCell ref="W8:W9"/>
    <mergeCell ref="Y8:Y9"/>
    <mergeCell ref="AI10:AI11"/>
    <mergeCell ref="AK10:AK11"/>
    <mergeCell ref="AL10:AL11"/>
    <mergeCell ref="AN10:AN11"/>
    <mergeCell ref="W10:W11"/>
    <mergeCell ref="Y10:Y11"/>
    <mergeCell ref="Z10:Z11"/>
    <mergeCell ref="AB10:AB11"/>
    <mergeCell ref="AC10:AC11"/>
    <mergeCell ref="AE10:AE11"/>
    <mergeCell ref="N10:N11"/>
    <mergeCell ref="P10:P11"/>
    <mergeCell ref="BI10:BI11"/>
    <mergeCell ref="BJ10:BJ11"/>
    <mergeCell ref="BL10:BL11"/>
    <mergeCell ref="BM10:BM11"/>
    <mergeCell ref="A12:A13"/>
    <mergeCell ref="D12:D13"/>
    <mergeCell ref="G12:G13"/>
    <mergeCell ref="J12:J13"/>
    <mergeCell ref="M12:M13"/>
    <mergeCell ref="AX10:AX11"/>
    <mergeCell ref="AZ10:AZ11"/>
    <mergeCell ref="BA10:BA11"/>
    <mergeCell ref="BC10:BC11"/>
    <mergeCell ref="BD10:BD11"/>
    <mergeCell ref="BF10:BF11"/>
    <mergeCell ref="AO10:AO11"/>
    <mergeCell ref="AQ10:AQ11"/>
    <mergeCell ref="AR10:AR11"/>
    <mergeCell ref="AT10:AT11"/>
    <mergeCell ref="AU10:AU11"/>
    <mergeCell ref="AW10:AW11"/>
    <mergeCell ref="AF10:AF11"/>
    <mergeCell ref="AH10:AH11"/>
    <mergeCell ref="BG12:BG13"/>
    <mergeCell ref="BI12:BI13"/>
    <mergeCell ref="BJ12:BJ13"/>
    <mergeCell ref="BL12:BL13"/>
    <mergeCell ref="BM12:BM13"/>
    <mergeCell ref="Q10:Q11"/>
    <mergeCell ref="S10:S11"/>
    <mergeCell ref="T10:T11"/>
    <mergeCell ref="V10:V11"/>
    <mergeCell ref="A14:A15"/>
    <mergeCell ref="D14:D15"/>
    <mergeCell ref="G14:G15"/>
    <mergeCell ref="J14:J15"/>
    <mergeCell ref="M14:M15"/>
    <mergeCell ref="AX12:AX13"/>
    <mergeCell ref="AZ12:AZ13"/>
    <mergeCell ref="BA12:BA13"/>
    <mergeCell ref="BC12:BC13"/>
    <mergeCell ref="BD12:BD13"/>
    <mergeCell ref="BF12:BF13"/>
    <mergeCell ref="AO12:AO13"/>
    <mergeCell ref="AQ12:AQ13"/>
    <mergeCell ref="AR12:AR13"/>
    <mergeCell ref="AT12:AT13"/>
    <mergeCell ref="AU12:AU13"/>
    <mergeCell ref="AW12:AW13"/>
    <mergeCell ref="AF12:AF13"/>
    <mergeCell ref="AH12:AH13"/>
    <mergeCell ref="AI12:AI13"/>
    <mergeCell ref="AK12:AK13"/>
    <mergeCell ref="AL12:AL13"/>
    <mergeCell ref="AN12:AN13"/>
    <mergeCell ref="W12:W13"/>
    <mergeCell ref="Y12:Y13"/>
    <mergeCell ref="Z12:Z13"/>
    <mergeCell ref="AB12:AB13"/>
    <mergeCell ref="BI14:BI15"/>
    <mergeCell ref="BJ14:BJ15"/>
    <mergeCell ref="BL14:BL15"/>
    <mergeCell ref="BM14:BM15"/>
    <mergeCell ref="A16:A17"/>
    <mergeCell ref="D16:D17"/>
    <mergeCell ref="G16:G17"/>
    <mergeCell ref="J16:J17"/>
    <mergeCell ref="M16:M17"/>
    <mergeCell ref="AX14:AX15"/>
    <mergeCell ref="AZ14:AZ15"/>
    <mergeCell ref="BA14:BA15"/>
    <mergeCell ref="BC14:BC15"/>
    <mergeCell ref="BD14:BD15"/>
    <mergeCell ref="BF14:BF15"/>
    <mergeCell ref="AO14:AO15"/>
    <mergeCell ref="AQ14:AQ15"/>
    <mergeCell ref="AR14:AR15"/>
    <mergeCell ref="AT14:AT15"/>
    <mergeCell ref="AU14:AU15"/>
    <mergeCell ref="AW14:AW15"/>
    <mergeCell ref="AF14:AF15"/>
    <mergeCell ref="AH14:AH15"/>
    <mergeCell ref="AI14:AI15"/>
    <mergeCell ref="AK14:AK15"/>
    <mergeCell ref="AL14:AL15"/>
    <mergeCell ref="AN14:AN15"/>
    <mergeCell ref="W14:W15"/>
    <mergeCell ref="Y14:Y15"/>
    <mergeCell ref="Z14:Z15"/>
    <mergeCell ref="AB14:AB15"/>
    <mergeCell ref="AC14:AC15"/>
    <mergeCell ref="AI16:AI17"/>
    <mergeCell ref="AK16:AK17"/>
    <mergeCell ref="AL16:AL17"/>
    <mergeCell ref="AN16:AN17"/>
    <mergeCell ref="W16:W17"/>
    <mergeCell ref="Y16:Y17"/>
    <mergeCell ref="Z16:Z17"/>
    <mergeCell ref="AB16:AB17"/>
    <mergeCell ref="AC16:AC17"/>
    <mergeCell ref="AE16:AE17"/>
    <mergeCell ref="N16:N17"/>
    <mergeCell ref="P16:P17"/>
    <mergeCell ref="Q16:Q17"/>
    <mergeCell ref="S16:S17"/>
    <mergeCell ref="T16:T17"/>
    <mergeCell ref="V16:V17"/>
    <mergeCell ref="BG14:BG15"/>
    <mergeCell ref="AE14:AE15"/>
    <mergeCell ref="N14:N15"/>
    <mergeCell ref="P14:P15"/>
    <mergeCell ref="Q14:Q15"/>
    <mergeCell ref="S14:S15"/>
    <mergeCell ref="T14:T15"/>
    <mergeCell ref="V14:V15"/>
    <mergeCell ref="AC18:AC19"/>
    <mergeCell ref="AE18:AE19"/>
    <mergeCell ref="N18:N19"/>
    <mergeCell ref="P18:P19"/>
    <mergeCell ref="Q18:Q19"/>
    <mergeCell ref="S18:S19"/>
    <mergeCell ref="T18:T19"/>
    <mergeCell ref="V18:V19"/>
    <mergeCell ref="BG16:BG17"/>
    <mergeCell ref="BI16:BI17"/>
    <mergeCell ref="BJ16:BJ17"/>
    <mergeCell ref="BL16:BL17"/>
    <mergeCell ref="BM16:BM17"/>
    <mergeCell ref="A18:A19"/>
    <mergeCell ref="D18:D19"/>
    <mergeCell ref="G18:G19"/>
    <mergeCell ref="J18:J19"/>
    <mergeCell ref="M18:M19"/>
    <mergeCell ref="AX16:AX17"/>
    <mergeCell ref="AZ16:AZ17"/>
    <mergeCell ref="BA16:BA17"/>
    <mergeCell ref="BC16:BC17"/>
    <mergeCell ref="BD16:BD17"/>
    <mergeCell ref="BF16:BF17"/>
    <mergeCell ref="AO16:AO17"/>
    <mergeCell ref="AQ16:AQ17"/>
    <mergeCell ref="AR16:AR17"/>
    <mergeCell ref="AT16:AT17"/>
    <mergeCell ref="AU16:AU17"/>
    <mergeCell ref="AW16:AW17"/>
    <mergeCell ref="AF16:AF17"/>
    <mergeCell ref="AH16:AH17"/>
    <mergeCell ref="BG18:BG19"/>
    <mergeCell ref="BI18:BI19"/>
    <mergeCell ref="BJ18:BJ19"/>
    <mergeCell ref="BL18:BL19"/>
    <mergeCell ref="BM18:BM19"/>
    <mergeCell ref="A20:A21"/>
    <mergeCell ref="D20:D21"/>
    <mergeCell ref="G20:G21"/>
    <mergeCell ref="J20:J21"/>
    <mergeCell ref="M20:M21"/>
    <mergeCell ref="AX18:AX19"/>
    <mergeCell ref="AZ18:AZ19"/>
    <mergeCell ref="BA18:BA19"/>
    <mergeCell ref="BC18:BC19"/>
    <mergeCell ref="BD18:BD19"/>
    <mergeCell ref="BF18:BF19"/>
    <mergeCell ref="AO18:AO19"/>
    <mergeCell ref="AQ18:AQ19"/>
    <mergeCell ref="AR18:AR19"/>
    <mergeCell ref="AT18:AT19"/>
    <mergeCell ref="AU18:AU19"/>
    <mergeCell ref="AW18:AW19"/>
    <mergeCell ref="AF18:AF19"/>
    <mergeCell ref="AH18:AH19"/>
    <mergeCell ref="AI18:AI19"/>
    <mergeCell ref="AK18:AK19"/>
    <mergeCell ref="AL18:AL19"/>
    <mergeCell ref="AN18:AN19"/>
    <mergeCell ref="W18:W19"/>
    <mergeCell ref="Y18:Y19"/>
    <mergeCell ref="Z18:Z19"/>
    <mergeCell ref="AB18:AB19"/>
    <mergeCell ref="BI20:BI21"/>
    <mergeCell ref="BJ20:BJ21"/>
    <mergeCell ref="BL20:BL21"/>
    <mergeCell ref="BM20:BM21"/>
    <mergeCell ref="A22:A23"/>
    <mergeCell ref="D22:D23"/>
    <mergeCell ref="G22:G23"/>
    <mergeCell ref="J22:J23"/>
    <mergeCell ref="M22:M23"/>
    <mergeCell ref="AX20:AX21"/>
    <mergeCell ref="AZ20:AZ21"/>
    <mergeCell ref="BA20:BA21"/>
    <mergeCell ref="BC20:BC21"/>
    <mergeCell ref="BD20:BD21"/>
    <mergeCell ref="BF20:BF21"/>
    <mergeCell ref="AO20:AO21"/>
    <mergeCell ref="AQ20:AQ21"/>
    <mergeCell ref="AR20:AR21"/>
    <mergeCell ref="AT20:AT21"/>
    <mergeCell ref="AU20:AU21"/>
    <mergeCell ref="AW20:AW21"/>
    <mergeCell ref="AF20:AF21"/>
    <mergeCell ref="AH20:AH21"/>
    <mergeCell ref="AI20:AI21"/>
    <mergeCell ref="AK20:AK21"/>
    <mergeCell ref="AL20:AL21"/>
    <mergeCell ref="AN20:AN21"/>
    <mergeCell ref="W20:W21"/>
    <mergeCell ref="Y20:Y21"/>
    <mergeCell ref="Z20:Z21"/>
    <mergeCell ref="AB20:AB21"/>
    <mergeCell ref="AC20:AC21"/>
    <mergeCell ref="AI22:AI23"/>
    <mergeCell ref="AK22:AK23"/>
    <mergeCell ref="AL22:AL23"/>
    <mergeCell ref="AN22:AN23"/>
    <mergeCell ref="W22:W23"/>
    <mergeCell ref="Y22:Y23"/>
    <mergeCell ref="Z22:Z23"/>
    <mergeCell ref="AB22:AB23"/>
    <mergeCell ref="AC22:AC23"/>
    <mergeCell ref="AE22:AE23"/>
    <mergeCell ref="N22:N23"/>
    <mergeCell ref="P22:P23"/>
    <mergeCell ref="Q22:Q23"/>
    <mergeCell ref="S22:S23"/>
    <mergeCell ref="T22:T23"/>
    <mergeCell ref="V22:V23"/>
    <mergeCell ref="BG20:BG21"/>
    <mergeCell ref="AE20:AE21"/>
    <mergeCell ref="N20:N21"/>
    <mergeCell ref="P20:P21"/>
    <mergeCell ref="Q20:Q21"/>
    <mergeCell ref="S20:S21"/>
    <mergeCell ref="T20:T21"/>
    <mergeCell ref="V20:V21"/>
    <mergeCell ref="AC24:AC25"/>
    <mergeCell ref="AE24:AE25"/>
    <mergeCell ref="N24:N25"/>
    <mergeCell ref="P24:P25"/>
    <mergeCell ref="Q24:Q25"/>
    <mergeCell ref="S24:S25"/>
    <mergeCell ref="T24:T25"/>
    <mergeCell ref="V24:V25"/>
    <mergeCell ref="BG22:BG23"/>
    <mergeCell ref="BI22:BI23"/>
    <mergeCell ref="BJ22:BJ23"/>
    <mergeCell ref="BL22:BL23"/>
    <mergeCell ref="BM22:BM23"/>
    <mergeCell ref="A24:A25"/>
    <mergeCell ref="D24:D25"/>
    <mergeCell ref="G24:G25"/>
    <mergeCell ref="J24:J25"/>
    <mergeCell ref="M24:M25"/>
    <mergeCell ref="AX22:AX23"/>
    <mergeCell ref="AZ22:AZ23"/>
    <mergeCell ref="BA22:BA23"/>
    <mergeCell ref="BC22:BC23"/>
    <mergeCell ref="BD22:BD23"/>
    <mergeCell ref="BF22:BF23"/>
    <mergeCell ref="AO22:AO23"/>
    <mergeCell ref="AQ22:AQ23"/>
    <mergeCell ref="AR22:AR23"/>
    <mergeCell ref="AT22:AT23"/>
    <mergeCell ref="AU22:AU23"/>
    <mergeCell ref="AW22:AW23"/>
    <mergeCell ref="AF22:AF23"/>
    <mergeCell ref="AH22:AH23"/>
    <mergeCell ref="BG24:BG25"/>
    <mergeCell ref="BI24:BI25"/>
    <mergeCell ref="BJ24:BJ25"/>
    <mergeCell ref="BL24:BL25"/>
    <mergeCell ref="BM24:BM25"/>
    <mergeCell ref="A26:A27"/>
    <mergeCell ref="D26:D27"/>
    <mergeCell ref="G26:G27"/>
    <mergeCell ref="J26:J27"/>
    <mergeCell ref="M26:M27"/>
    <mergeCell ref="AX24:AX25"/>
    <mergeCell ref="AZ24:AZ25"/>
    <mergeCell ref="BA24:BA25"/>
    <mergeCell ref="BC24:BC25"/>
    <mergeCell ref="BD24:BD25"/>
    <mergeCell ref="BF24:BF25"/>
    <mergeCell ref="AO24:AO25"/>
    <mergeCell ref="AQ24:AQ25"/>
    <mergeCell ref="AR24:AR25"/>
    <mergeCell ref="AT24:AT25"/>
    <mergeCell ref="AU24:AU25"/>
    <mergeCell ref="AW24:AW25"/>
    <mergeCell ref="AF24:AF25"/>
    <mergeCell ref="AH24:AH25"/>
    <mergeCell ref="AI24:AI25"/>
    <mergeCell ref="AK24:AK25"/>
    <mergeCell ref="AL24:AL25"/>
    <mergeCell ref="AN24:AN25"/>
    <mergeCell ref="W24:W25"/>
    <mergeCell ref="Y24:Y25"/>
    <mergeCell ref="Z24:Z25"/>
    <mergeCell ref="AB24:AB25"/>
    <mergeCell ref="BI26:BI27"/>
    <mergeCell ref="BJ26:BJ27"/>
    <mergeCell ref="BL26:BL27"/>
    <mergeCell ref="BM26:BM27"/>
    <mergeCell ref="A28:A29"/>
    <mergeCell ref="D28:D29"/>
    <mergeCell ref="G28:G29"/>
    <mergeCell ref="J28:J29"/>
    <mergeCell ref="M28:M29"/>
    <mergeCell ref="AX26:AX27"/>
    <mergeCell ref="AZ26:AZ27"/>
    <mergeCell ref="BA26:BA27"/>
    <mergeCell ref="BC26:BC27"/>
    <mergeCell ref="BD26:BD27"/>
    <mergeCell ref="BF26:BF27"/>
    <mergeCell ref="AO26:AO27"/>
    <mergeCell ref="AQ26:AQ27"/>
    <mergeCell ref="AR26:AR27"/>
    <mergeCell ref="AT26:AT27"/>
    <mergeCell ref="AU26:AU27"/>
    <mergeCell ref="AW26:AW27"/>
    <mergeCell ref="AF26:AF27"/>
    <mergeCell ref="AH26:AH27"/>
    <mergeCell ref="AI26:AI27"/>
    <mergeCell ref="AK26:AK27"/>
    <mergeCell ref="AL26:AL27"/>
    <mergeCell ref="AN26:AN27"/>
    <mergeCell ref="W26:W27"/>
    <mergeCell ref="Y26:Y27"/>
    <mergeCell ref="Z26:Z27"/>
    <mergeCell ref="AB26:AB27"/>
    <mergeCell ref="AC26:AC27"/>
    <mergeCell ref="AI28:AI29"/>
    <mergeCell ref="AK28:AK29"/>
    <mergeCell ref="AL28:AL29"/>
    <mergeCell ref="AN28:AN29"/>
    <mergeCell ref="W28:W29"/>
    <mergeCell ref="Y28:Y29"/>
    <mergeCell ref="Z28:Z29"/>
    <mergeCell ref="AB28:AB29"/>
    <mergeCell ref="AC28:AC29"/>
    <mergeCell ref="AE28:AE29"/>
    <mergeCell ref="N28:N29"/>
    <mergeCell ref="P28:P29"/>
    <mergeCell ref="Q28:Q29"/>
    <mergeCell ref="S28:S29"/>
    <mergeCell ref="T28:T29"/>
    <mergeCell ref="V28:V29"/>
    <mergeCell ref="BG26:BG27"/>
    <mergeCell ref="AE26:AE27"/>
    <mergeCell ref="N26:N27"/>
    <mergeCell ref="P26:P27"/>
    <mergeCell ref="Q26:Q27"/>
    <mergeCell ref="S26:S27"/>
    <mergeCell ref="T26:T27"/>
    <mergeCell ref="V26:V27"/>
    <mergeCell ref="AC30:AC31"/>
    <mergeCell ref="AE30:AE31"/>
    <mergeCell ref="N30:N31"/>
    <mergeCell ref="P30:P31"/>
    <mergeCell ref="Q30:Q31"/>
    <mergeCell ref="S30:S31"/>
    <mergeCell ref="T30:T31"/>
    <mergeCell ref="V30:V31"/>
    <mergeCell ref="BG28:BG29"/>
    <mergeCell ref="BI28:BI29"/>
    <mergeCell ref="BJ28:BJ29"/>
    <mergeCell ref="BL28:BL29"/>
    <mergeCell ref="BM28:BM29"/>
    <mergeCell ref="A30:A31"/>
    <mergeCell ref="D30:D31"/>
    <mergeCell ref="G30:G31"/>
    <mergeCell ref="J30:J31"/>
    <mergeCell ref="M30:M31"/>
    <mergeCell ref="AX28:AX29"/>
    <mergeCell ref="AZ28:AZ29"/>
    <mergeCell ref="BA28:BA29"/>
    <mergeCell ref="BC28:BC29"/>
    <mergeCell ref="BD28:BD29"/>
    <mergeCell ref="BF28:BF29"/>
    <mergeCell ref="AO28:AO29"/>
    <mergeCell ref="AQ28:AQ29"/>
    <mergeCell ref="AR28:AR29"/>
    <mergeCell ref="AT28:AT29"/>
    <mergeCell ref="AU28:AU29"/>
    <mergeCell ref="AW28:AW29"/>
    <mergeCell ref="AF28:AF29"/>
    <mergeCell ref="AH28:AH29"/>
    <mergeCell ref="BG30:BG31"/>
    <mergeCell ref="BI30:BI31"/>
    <mergeCell ref="BJ30:BJ31"/>
    <mergeCell ref="BL30:BL31"/>
    <mergeCell ref="BM30:BM31"/>
    <mergeCell ref="A32:A33"/>
    <mergeCell ref="D32:D33"/>
    <mergeCell ref="G32:G33"/>
    <mergeCell ref="J32:J33"/>
    <mergeCell ref="M32:M33"/>
    <mergeCell ref="AX30:AX31"/>
    <mergeCell ref="AZ30:AZ31"/>
    <mergeCell ref="BA30:BA31"/>
    <mergeCell ref="BC30:BC31"/>
    <mergeCell ref="BD30:BD31"/>
    <mergeCell ref="BF30:BF31"/>
    <mergeCell ref="AO30:AO31"/>
    <mergeCell ref="AQ30:AQ31"/>
    <mergeCell ref="AR30:AR31"/>
    <mergeCell ref="AT30:AT31"/>
    <mergeCell ref="AU30:AU31"/>
    <mergeCell ref="AW30:AW31"/>
    <mergeCell ref="AF30:AF31"/>
    <mergeCell ref="AH30:AH31"/>
    <mergeCell ref="AI30:AI31"/>
    <mergeCell ref="AK30:AK31"/>
    <mergeCell ref="AL30:AL31"/>
    <mergeCell ref="AN30:AN31"/>
    <mergeCell ref="W30:W31"/>
    <mergeCell ref="Y30:Y31"/>
    <mergeCell ref="Z30:Z31"/>
    <mergeCell ref="AB30:AB31"/>
    <mergeCell ref="BI32:BI33"/>
    <mergeCell ref="BJ32:BJ33"/>
    <mergeCell ref="BL32:BL33"/>
    <mergeCell ref="BM32:BM33"/>
    <mergeCell ref="A34:A35"/>
    <mergeCell ref="D34:D35"/>
    <mergeCell ref="G34:G35"/>
    <mergeCell ref="J34:J35"/>
    <mergeCell ref="M34:M35"/>
    <mergeCell ref="AX32:AX33"/>
    <mergeCell ref="AZ32:AZ33"/>
    <mergeCell ref="BA32:BA33"/>
    <mergeCell ref="BC32:BC33"/>
    <mergeCell ref="BD32:BD33"/>
    <mergeCell ref="BF32:BF33"/>
    <mergeCell ref="AO32:AO33"/>
    <mergeCell ref="AQ32:AQ33"/>
    <mergeCell ref="AR32:AR33"/>
    <mergeCell ref="AT32:AT33"/>
    <mergeCell ref="AU32:AU33"/>
    <mergeCell ref="AW32:AW33"/>
    <mergeCell ref="AF32:AF33"/>
    <mergeCell ref="AH32:AH33"/>
    <mergeCell ref="AI32:AI33"/>
    <mergeCell ref="AK32:AK33"/>
    <mergeCell ref="AL32:AL33"/>
    <mergeCell ref="AN32:AN33"/>
    <mergeCell ref="W32:W33"/>
    <mergeCell ref="Y32:Y33"/>
    <mergeCell ref="Z32:Z33"/>
    <mergeCell ref="AB32:AB33"/>
    <mergeCell ref="AC32:AC33"/>
    <mergeCell ref="AI34:AI35"/>
    <mergeCell ref="AK34:AK35"/>
    <mergeCell ref="AL34:AL35"/>
    <mergeCell ref="AN34:AN35"/>
    <mergeCell ref="W34:W35"/>
    <mergeCell ref="Y34:Y35"/>
    <mergeCell ref="Z34:Z35"/>
    <mergeCell ref="AB34:AB35"/>
    <mergeCell ref="AC34:AC35"/>
    <mergeCell ref="AE34:AE35"/>
    <mergeCell ref="N34:N35"/>
    <mergeCell ref="P34:P35"/>
    <mergeCell ref="Q34:Q35"/>
    <mergeCell ref="S34:S35"/>
    <mergeCell ref="T34:T35"/>
    <mergeCell ref="V34:V35"/>
    <mergeCell ref="BG32:BG33"/>
    <mergeCell ref="AE32:AE33"/>
    <mergeCell ref="N32:N33"/>
    <mergeCell ref="P32:P33"/>
    <mergeCell ref="Q32:Q33"/>
    <mergeCell ref="S32:S33"/>
    <mergeCell ref="T32:T33"/>
    <mergeCell ref="V32:V33"/>
    <mergeCell ref="AC36:AC37"/>
    <mergeCell ref="AE36:AE37"/>
    <mergeCell ref="N36:N37"/>
    <mergeCell ref="P36:P37"/>
    <mergeCell ref="Q36:Q37"/>
    <mergeCell ref="S36:S37"/>
    <mergeCell ref="T36:T37"/>
    <mergeCell ref="V36:V37"/>
    <mergeCell ref="BG34:BG35"/>
    <mergeCell ref="BI34:BI35"/>
    <mergeCell ref="BJ34:BJ35"/>
    <mergeCell ref="BL34:BL35"/>
    <mergeCell ref="BM34:BM35"/>
    <mergeCell ref="A36:A37"/>
    <mergeCell ref="D36:D37"/>
    <mergeCell ref="G36:G37"/>
    <mergeCell ref="J36:J37"/>
    <mergeCell ref="M36:M37"/>
    <mergeCell ref="AX34:AX35"/>
    <mergeCell ref="AZ34:AZ35"/>
    <mergeCell ref="BA34:BA35"/>
    <mergeCell ref="BC34:BC35"/>
    <mergeCell ref="BD34:BD35"/>
    <mergeCell ref="BF34:BF35"/>
    <mergeCell ref="AO34:AO35"/>
    <mergeCell ref="AQ34:AQ35"/>
    <mergeCell ref="AR34:AR35"/>
    <mergeCell ref="AT34:AT35"/>
    <mergeCell ref="AU34:AU35"/>
    <mergeCell ref="AW34:AW35"/>
    <mergeCell ref="AF34:AF35"/>
    <mergeCell ref="AH34:AH35"/>
    <mergeCell ref="BG36:BG37"/>
    <mergeCell ref="BI36:BI37"/>
    <mergeCell ref="BJ36:BJ37"/>
    <mergeCell ref="BL36:BL37"/>
    <mergeCell ref="BM36:BM37"/>
    <mergeCell ref="A38:A39"/>
    <mergeCell ref="D38:D39"/>
    <mergeCell ref="G38:G39"/>
    <mergeCell ref="J38:J39"/>
    <mergeCell ref="M38:M39"/>
    <mergeCell ref="AX36:AX37"/>
    <mergeCell ref="AZ36:AZ37"/>
    <mergeCell ref="BA36:BA37"/>
    <mergeCell ref="BC36:BC37"/>
    <mergeCell ref="BD36:BD37"/>
    <mergeCell ref="BF36:BF37"/>
    <mergeCell ref="AO36:AO37"/>
    <mergeCell ref="AQ36:AQ37"/>
    <mergeCell ref="AR36:AR37"/>
    <mergeCell ref="AT36:AT37"/>
    <mergeCell ref="AU36:AU37"/>
    <mergeCell ref="AW36:AW37"/>
    <mergeCell ref="AF36:AF37"/>
    <mergeCell ref="AH36:AH37"/>
    <mergeCell ref="AI36:AI37"/>
    <mergeCell ref="AK36:AK37"/>
    <mergeCell ref="AL36:AL37"/>
    <mergeCell ref="AN36:AN37"/>
    <mergeCell ref="W36:W37"/>
    <mergeCell ref="Y36:Y37"/>
    <mergeCell ref="Z36:Z37"/>
    <mergeCell ref="AB36:AB37"/>
    <mergeCell ref="BI38:BI39"/>
    <mergeCell ref="BJ38:BJ39"/>
    <mergeCell ref="BL38:BL39"/>
    <mergeCell ref="BM38:BM39"/>
    <mergeCell ref="A40:A41"/>
    <mergeCell ref="D40:D41"/>
    <mergeCell ref="G40:G41"/>
    <mergeCell ref="J40:J41"/>
    <mergeCell ref="M40:M41"/>
    <mergeCell ref="AX38:AX39"/>
    <mergeCell ref="AZ38:AZ39"/>
    <mergeCell ref="BA38:BA39"/>
    <mergeCell ref="BC38:BC39"/>
    <mergeCell ref="BD38:BD39"/>
    <mergeCell ref="BF38:BF39"/>
    <mergeCell ref="AO38:AO39"/>
    <mergeCell ref="AQ38:AQ39"/>
    <mergeCell ref="AR38:AR39"/>
    <mergeCell ref="AT38:AT39"/>
    <mergeCell ref="AU38:AU39"/>
    <mergeCell ref="AW38:AW39"/>
    <mergeCell ref="AF38:AF39"/>
    <mergeCell ref="AH38:AH39"/>
    <mergeCell ref="AI38:AI39"/>
    <mergeCell ref="AK38:AK39"/>
    <mergeCell ref="AL38:AL39"/>
    <mergeCell ref="AN38:AN39"/>
    <mergeCell ref="W38:W39"/>
    <mergeCell ref="Y38:Y39"/>
    <mergeCell ref="Z38:Z39"/>
    <mergeCell ref="AB38:AB39"/>
    <mergeCell ref="AC38:AC39"/>
    <mergeCell ref="AI40:AI41"/>
    <mergeCell ref="AK40:AK41"/>
    <mergeCell ref="AL40:AL41"/>
    <mergeCell ref="AN40:AN41"/>
    <mergeCell ref="W40:W41"/>
    <mergeCell ref="Y40:Y41"/>
    <mergeCell ref="Z40:Z41"/>
    <mergeCell ref="AB40:AB41"/>
    <mergeCell ref="AC40:AC41"/>
    <mergeCell ref="AE40:AE41"/>
    <mergeCell ref="N40:N41"/>
    <mergeCell ref="P40:P41"/>
    <mergeCell ref="Q40:Q41"/>
    <mergeCell ref="S40:S41"/>
    <mergeCell ref="T40:T41"/>
    <mergeCell ref="V40:V41"/>
    <mergeCell ref="BG38:BG39"/>
    <mergeCell ref="AE38:AE39"/>
    <mergeCell ref="N38:N39"/>
    <mergeCell ref="P38:P39"/>
    <mergeCell ref="Q38:Q39"/>
    <mergeCell ref="S38:S39"/>
    <mergeCell ref="T38:T39"/>
    <mergeCell ref="V38:V39"/>
    <mergeCell ref="AC42:AC43"/>
    <mergeCell ref="AE42:AE43"/>
    <mergeCell ref="N42:N43"/>
    <mergeCell ref="P42:P43"/>
    <mergeCell ref="Q42:Q43"/>
    <mergeCell ref="S42:S43"/>
    <mergeCell ref="T42:T43"/>
    <mergeCell ref="V42:V43"/>
    <mergeCell ref="BG40:BG41"/>
    <mergeCell ref="BI40:BI41"/>
    <mergeCell ref="BJ40:BJ41"/>
    <mergeCell ref="BL40:BL41"/>
    <mergeCell ref="BM40:BM41"/>
    <mergeCell ref="A42:A43"/>
    <mergeCell ref="D42:D43"/>
    <mergeCell ref="G42:G43"/>
    <mergeCell ref="J42:J43"/>
    <mergeCell ref="M42:M43"/>
    <mergeCell ref="AX40:AX41"/>
    <mergeCell ref="AZ40:AZ41"/>
    <mergeCell ref="BA40:BA41"/>
    <mergeCell ref="BC40:BC41"/>
    <mergeCell ref="BD40:BD41"/>
    <mergeCell ref="BF40:BF41"/>
    <mergeCell ref="AO40:AO41"/>
    <mergeCell ref="AQ40:AQ41"/>
    <mergeCell ref="AR40:AR41"/>
    <mergeCell ref="AT40:AT41"/>
    <mergeCell ref="AU40:AU41"/>
    <mergeCell ref="AW40:AW41"/>
    <mergeCell ref="AF40:AF41"/>
    <mergeCell ref="AH40:AH41"/>
    <mergeCell ref="BG42:BG43"/>
    <mergeCell ref="BI42:BI43"/>
    <mergeCell ref="BJ42:BJ43"/>
    <mergeCell ref="BL42:BL43"/>
    <mergeCell ref="BM42:BM43"/>
    <mergeCell ref="A44:A45"/>
    <mergeCell ref="D44:D45"/>
    <mergeCell ref="G44:G45"/>
    <mergeCell ref="J44:J45"/>
    <mergeCell ref="M44:M45"/>
    <mergeCell ref="AX42:AX43"/>
    <mergeCell ref="AZ42:AZ43"/>
    <mergeCell ref="BA42:BA43"/>
    <mergeCell ref="BC42:BC43"/>
    <mergeCell ref="BD42:BD43"/>
    <mergeCell ref="BF42:BF43"/>
    <mergeCell ref="AO42:AO43"/>
    <mergeCell ref="AQ42:AQ43"/>
    <mergeCell ref="AR42:AR43"/>
    <mergeCell ref="AT42:AT43"/>
    <mergeCell ref="AU42:AU43"/>
    <mergeCell ref="AW42:AW43"/>
    <mergeCell ref="AF42:AF43"/>
    <mergeCell ref="AH42:AH43"/>
    <mergeCell ref="AI42:AI43"/>
    <mergeCell ref="AK42:AK43"/>
    <mergeCell ref="AL42:AL43"/>
    <mergeCell ref="AN42:AN43"/>
    <mergeCell ref="W42:W43"/>
    <mergeCell ref="Y42:Y43"/>
    <mergeCell ref="Z42:Z43"/>
    <mergeCell ref="AB42:AB43"/>
    <mergeCell ref="BI44:BI45"/>
    <mergeCell ref="BJ44:BJ45"/>
    <mergeCell ref="BL44:BL45"/>
    <mergeCell ref="BM44:BM45"/>
    <mergeCell ref="A46:A47"/>
    <mergeCell ref="D46:D47"/>
    <mergeCell ref="G46:G47"/>
    <mergeCell ref="J46:J47"/>
    <mergeCell ref="M46:M47"/>
    <mergeCell ref="AX44:AX45"/>
    <mergeCell ref="AZ44:AZ45"/>
    <mergeCell ref="BA44:BA45"/>
    <mergeCell ref="BC44:BC45"/>
    <mergeCell ref="BD44:BD45"/>
    <mergeCell ref="BF44:BF45"/>
    <mergeCell ref="AO44:AO45"/>
    <mergeCell ref="AQ44:AQ45"/>
    <mergeCell ref="AR44:AR45"/>
    <mergeCell ref="AT44:AT45"/>
    <mergeCell ref="AU44:AU45"/>
    <mergeCell ref="AW44:AW45"/>
    <mergeCell ref="AF44:AF45"/>
    <mergeCell ref="AH44:AH45"/>
    <mergeCell ref="AI44:AI45"/>
    <mergeCell ref="AK44:AK45"/>
    <mergeCell ref="AL44:AL45"/>
    <mergeCell ref="AN44:AN45"/>
    <mergeCell ref="W44:W45"/>
    <mergeCell ref="Y44:Y45"/>
    <mergeCell ref="Z44:Z45"/>
    <mergeCell ref="AB44:AB45"/>
    <mergeCell ref="AC44:AC45"/>
    <mergeCell ref="AI46:AI47"/>
    <mergeCell ref="AK46:AK47"/>
    <mergeCell ref="AL46:AL47"/>
    <mergeCell ref="AN46:AN47"/>
    <mergeCell ref="W46:W47"/>
    <mergeCell ref="Y46:Y47"/>
    <mergeCell ref="Z46:Z47"/>
    <mergeCell ref="AB46:AB47"/>
    <mergeCell ref="AC46:AC47"/>
    <mergeCell ref="AE46:AE47"/>
    <mergeCell ref="N46:N47"/>
    <mergeCell ref="P46:P47"/>
    <mergeCell ref="Q46:Q47"/>
    <mergeCell ref="S46:S47"/>
    <mergeCell ref="T46:T47"/>
    <mergeCell ref="V46:V47"/>
    <mergeCell ref="BG44:BG45"/>
    <mergeCell ref="AE44:AE45"/>
    <mergeCell ref="N44:N45"/>
    <mergeCell ref="P44:P45"/>
    <mergeCell ref="Q44:Q45"/>
    <mergeCell ref="S44:S45"/>
    <mergeCell ref="T44:T45"/>
    <mergeCell ref="V44:V45"/>
    <mergeCell ref="AC48:AC49"/>
    <mergeCell ref="AE48:AE49"/>
    <mergeCell ref="N48:N49"/>
    <mergeCell ref="P48:P49"/>
    <mergeCell ref="Q48:Q49"/>
    <mergeCell ref="S48:S49"/>
    <mergeCell ref="T48:T49"/>
    <mergeCell ref="V48:V49"/>
    <mergeCell ref="BG46:BG47"/>
    <mergeCell ref="BI46:BI47"/>
    <mergeCell ref="BJ46:BJ47"/>
    <mergeCell ref="BL46:BL47"/>
    <mergeCell ref="BM46:BM47"/>
    <mergeCell ref="A48:A49"/>
    <mergeCell ref="D48:D49"/>
    <mergeCell ref="G48:G49"/>
    <mergeCell ref="J48:J49"/>
    <mergeCell ref="M48:M49"/>
    <mergeCell ref="AX46:AX47"/>
    <mergeCell ref="AZ46:AZ47"/>
    <mergeCell ref="BA46:BA47"/>
    <mergeCell ref="BC46:BC47"/>
    <mergeCell ref="BD46:BD47"/>
    <mergeCell ref="BF46:BF47"/>
    <mergeCell ref="AO46:AO47"/>
    <mergeCell ref="AQ46:AQ47"/>
    <mergeCell ref="AR46:AR47"/>
    <mergeCell ref="AT46:AT47"/>
    <mergeCell ref="AU46:AU47"/>
    <mergeCell ref="AW46:AW47"/>
    <mergeCell ref="AF46:AF47"/>
    <mergeCell ref="AH46:AH47"/>
    <mergeCell ref="BG48:BG49"/>
    <mergeCell ref="BI48:BI49"/>
    <mergeCell ref="BJ48:BJ49"/>
    <mergeCell ref="BL48:BL49"/>
    <mergeCell ref="BM48:BM49"/>
    <mergeCell ref="A50:A51"/>
    <mergeCell ref="D50:D51"/>
    <mergeCell ref="G50:G51"/>
    <mergeCell ref="J50:J51"/>
    <mergeCell ref="M50:M51"/>
    <mergeCell ref="AX48:AX49"/>
    <mergeCell ref="AZ48:AZ49"/>
    <mergeCell ref="BA48:BA49"/>
    <mergeCell ref="BC48:BC49"/>
    <mergeCell ref="BD48:BD49"/>
    <mergeCell ref="BF48:BF49"/>
    <mergeCell ref="AO48:AO49"/>
    <mergeCell ref="AQ48:AQ49"/>
    <mergeCell ref="AR48:AR49"/>
    <mergeCell ref="AT48:AT49"/>
    <mergeCell ref="AU48:AU49"/>
    <mergeCell ref="AW48:AW49"/>
    <mergeCell ref="AF48:AF49"/>
    <mergeCell ref="AH48:AH49"/>
    <mergeCell ref="AI48:AI49"/>
    <mergeCell ref="AK48:AK49"/>
    <mergeCell ref="AL48:AL49"/>
    <mergeCell ref="AN48:AN49"/>
    <mergeCell ref="W48:W49"/>
    <mergeCell ref="Y48:Y49"/>
    <mergeCell ref="Z48:Z49"/>
    <mergeCell ref="AB48:AB49"/>
    <mergeCell ref="BI50:BI51"/>
    <mergeCell ref="BJ50:BJ51"/>
    <mergeCell ref="BL50:BL51"/>
    <mergeCell ref="BM50:BM51"/>
    <mergeCell ref="A52:A53"/>
    <mergeCell ref="D52:D53"/>
    <mergeCell ref="G52:G53"/>
    <mergeCell ref="J52:J53"/>
    <mergeCell ref="M52:M53"/>
    <mergeCell ref="AX50:AX51"/>
    <mergeCell ref="AZ50:AZ51"/>
    <mergeCell ref="BA50:BA51"/>
    <mergeCell ref="BC50:BC51"/>
    <mergeCell ref="BD50:BD51"/>
    <mergeCell ref="BF50:BF51"/>
    <mergeCell ref="AO50:AO51"/>
    <mergeCell ref="AQ50:AQ51"/>
    <mergeCell ref="AR50:AR51"/>
    <mergeCell ref="AT50:AT51"/>
    <mergeCell ref="AU50:AU51"/>
    <mergeCell ref="AW50:AW51"/>
    <mergeCell ref="AF50:AF51"/>
    <mergeCell ref="AH50:AH51"/>
    <mergeCell ref="AI50:AI51"/>
    <mergeCell ref="AK50:AK51"/>
    <mergeCell ref="AL50:AL51"/>
    <mergeCell ref="AN50:AN51"/>
    <mergeCell ref="W50:W51"/>
    <mergeCell ref="Y50:Y51"/>
    <mergeCell ref="Z50:Z51"/>
    <mergeCell ref="AB50:AB51"/>
    <mergeCell ref="AC50:AC51"/>
    <mergeCell ref="AI52:AI53"/>
    <mergeCell ref="AK52:AK53"/>
    <mergeCell ref="AL52:AL53"/>
    <mergeCell ref="AN52:AN53"/>
    <mergeCell ref="W52:W53"/>
    <mergeCell ref="Y52:Y53"/>
    <mergeCell ref="Z52:Z53"/>
    <mergeCell ref="AB52:AB53"/>
    <mergeCell ref="AC52:AC53"/>
    <mergeCell ref="AE52:AE53"/>
    <mergeCell ref="N52:N53"/>
    <mergeCell ref="P52:P53"/>
    <mergeCell ref="Q52:Q53"/>
    <mergeCell ref="S52:S53"/>
    <mergeCell ref="T52:T53"/>
    <mergeCell ref="V52:V53"/>
    <mergeCell ref="BG50:BG51"/>
    <mergeCell ref="AE50:AE51"/>
    <mergeCell ref="N50:N51"/>
    <mergeCell ref="P50:P51"/>
    <mergeCell ref="Q50:Q51"/>
    <mergeCell ref="S50:S51"/>
    <mergeCell ref="T50:T51"/>
    <mergeCell ref="V50:V51"/>
    <mergeCell ref="AC54:AC55"/>
    <mergeCell ref="AE54:AE55"/>
    <mergeCell ref="N54:N55"/>
    <mergeCell ref="P54:P55"/>
    <mergeCell ref="Q54:Q55"/>
    <mergeCell ref="S54:S55"/>
    <mergeCell ref="T54:T55"/>
    <mergeCell ref="V54:V55"/>
    <mergeCell ref="BG52:BG53"/>
    <mergeCell ref="BI52:BI53"/>
    <mergeCell ref="BJ52:BJ53"/>
    <mergeCell ref="BL52:BL53"/>
    <mergeCell ref="BM52:BM53"/>
    <mergeCell ref="A54:A55"/>
    <mergeCell ref="D54:D55"/>
    <mergeCell ref="G54:G55"/>
    <mergeCell ref="J54:J55"/>
    <mergeCell ref="M54:M55"/>
    <mergeCell ref="AX52:AX53"/>
    <mergeCell ref="AZ52:AZ53"/>
    <mergeCell ref="BA52:BA53"/>
    <mergeCell ref="BC52:BC53"/>
    <mergeCell ref="BD52:BD53"/>
    <mergeCell ref="BF52:BF53"/>
    <mergeCell ref="AO52:AO53"/>
    <mergeCell ref="AQ52:AQ53"/>
    <mergeCell ref="AR52:AR53"/>
    <mergeCell ref="AT52:AT53"/>
    <mergeCell ref="AU52:AU53"/>
    <mergeCell ref="AW52:AW53"/>
    <mergeCell ref="AF52:AF53"/>
    <mergeCell ref="AH52:AH53"/>
    <mergeCell ref="BG54:BG55"/>
    <mergeCell ref="BI54:BI55"/>
    <mergeCell ref="BJ54:BJ55"/>
    <mergeCell ref="BL54:BL55"/>
    <mergeCell ref="BM54:BM55"/>
    <mergeCell ref="A56:A57"/>
    <mergeCell ref="D56:D57"/>
    <mergeCell ref="G56:G57"/>
    <mergeCell ref="J56:J57"/>
    <mergeCell ref="M56:M57"/>
    <mergeCell ref="AX54:AX55"/>
    <mergeCell ref="AZ54:AZ55"/>
    <mergeCell ref="BA54:BA55"/>
    <mergeCell ref="BC54:BC55"/>
    <mergeCell ref="BD54:BD55"/>
    <mergeCell ref="BF54:BF55"/>
    <mergeCell ref="AO54:AO55"/>
    <mergeCell ref="AQ54:AQ55"/>
    <mergeCell ref="AR54:AR55"/>
    <mergeCell ref="AT54:AT55"/>
    <mergeCell ref="AU54:AU55"/>
    <mergeCell ref="AW54:AW55"/>
    <mergeCell ref="AF54:AF55"/>
    <mergeCell ref="AH54:AH55"/>
    <mergeCell ref="AI54:AI55"/>
    <mergeCell ref="AK54:AK55"/>
    <mergeCell ref="AL54:AL55"/>
    <mergeCell ref="AN54:AN55"/>
    <mergeCell ref="W54:W55"/>
    <mergeCell ref="Y54:Y55"/>
    <mergeCell ref="Z54:Z55"/>
    <mergeCell ref="AB54:AB55"/>
    <mergeCell ref="BI56:BI57"/>
    <mergeCell ref="BJ56:BJ57"/>
    <mergeCell ref="BL56:BL57"/>
    <mergeCell ref="BM56:BM57"/>
    <mergeCell ref="A58:A59"/>
    <mergeCell ref="D58:D59"/>
    <mergeCell ref="G58:G59"/>
    <mergeCell ref="J58:J59"/>
    <mergeCell ref="M58:M59"/>
    <mergeCell ref="AX56:AX57"/>
    <mergeCell ref="AZ56:AZ57"/>
    <mergeCell ref="BA56:BA57"/>
    <mergeCell ref="BC56:BC57"/>
    <mergeCell ref="BD56:BD57"/>
    <mergeCell ref="BF56:BF57"/>
    <mergeCell ref="AO56:AO57"/>
    <mergeCell ref="AQ56:AQ57"/>
    <mergeCell ref="AR56:AR57"/>
    <mergeCell ref="AT56:AT57"/>
    <mergeCell ref="AU56:AU57"/>
    <mergeCell ref="AW56:AW57"/>
    <mergeCell ref="AF56:AF57"/>
    <mergeCell ref="AH56:AH57"/>
    <mergeCell ref="AI56:AI57"/>
    <mergeCell ref="AK56:AK57"/>
    <mergeCell ref="AL56:AL57"/>
    <mergeCell ref="AN56:AN57"/>
    <mergeCell ref="W56:W57"/>
    <mergeCell ref="Y56:Y57"/>
    <mergeCell ref="Z56:Z57"/>
    <mergeCell ref="AB56:AB57"/>
    <mergeCell ref="AC56:AC57"/>
    <mergeCell ref="AI58:AI59"/>
    <mergeCell ref="AK58:AK59"/>
    <mergeCell ref="AL58:AL59"/>
    <mergeCell ref="AN58:AN59"/>
    <mergeCell ref="W58:W59"/>
    <mergeCell ref="Y58:Y59"/>
    <mergeCell ref="Z58:Z59"/>
    <mergeCell ref="AB58:AB59"/>
    <mergeCell ref="AC58:AC59"/>
    <mergeCell ref="AE58:AE59"/>
    <mergeCell ref="N58:N59"/>
    <mergeCell ref="P58:P59"/>
    <mergeCell ref="Q58:Q59"/>
    <mergeCell ref="S58:S59"/>
    <mergeCell ref="T58:T59"/>
    <mergeCell ref="V58:V59"/>
    <mergeCell ref="BG56:BG57"/>
    <mergeCell ref="AE56:AE57"/>
    <mergeCell ref="N56:N57"/>
    <mergeCell ref="P56:P57"/>
    <mergeCell ref="Q56:Q57"/>
    <mergeCell ref="S56:S57"/>
    <mergeCell ref="T56:T57"/>
    <mergeCell ref="V56:V57"/>
    <mergeCell ref="AC60:AC61"/>
    <mergeCell ref="AE60:AE61"/>
    <mergeCell ref="N60:N61"/>
    <mergeCell ref="P60:P61"/>
    <mergeCell ref="Q60:Q61"/>
    <mergeCell ref="S60:S61"/>
    <mergeCell ref="T60:T61"/>
    <mergeCell ref="V60:V61"/>
    <mergeCell ref="BG58:BG59"/>
    <mergeCell ref="BI58:BI59"/>
    <mergeCell ref="BJ58:BJ59"/>
    <mergeCell ref="BL58:BL59"/>
    <mergeCell ref="BM58:BM59"/>
    <mergeCell ref="A60:A61"/>
    <mergeCell ref="D60:D61"/>
    <mergeCell ref="G60:G61"/>
    <mergeCell ref="J60:J61"/>
    <mergeCell ref="M60:M61"/>
    <mergeCell ref="AX58:AX59"/>
    <mergeCell ref="AZ58:AZ59"/>
    <mergeCell ref="BA58:BA59"/>
    <mergeCell ref="BC58:BC59"/>
    <mergeCell ref="BD58:BD59"/>
    <mergeCell ref="BF58:BF59"/>
    <mergeCell ref="AO58:AO59"/>
    <mergeCell ref="AQ58:AQ59"/>
    <mergeCell ref="AR58:AR59"/>
    <mergeCell ref="AT58:AT59"/>
    <mergeCell ref="AU58:AU59"/>
    <mergeCell ref="AW58:AW59"/>
    <mergeCell ref="AF58:AF59"/>
    <mergeCell ref="AH58:AH59"/>
    <mergeCell ref="BG60:BG61"/>
    <mergeCell ref="BI60:BI61"/>
    <mergeCell ref="BJ60:BJ61"/>
    <mergeCell ref="BL60:BL61"/>
    <mergeCell ref="BM60:BM61"/>
    <mergeCell ref="A62:A63"/>
    <mergeCell ref="D62:D63"/>
    <mergeCell ref="G62:G63"/>
    <mergeCell ref="J62:J63"/>
    <mergeCell ref="M62:M63"/>
    <mergeCell ref="AX60:AX61"/>
    <mergeCell ref="AZ60:AZ61"/>
    <mergeCell ref="BA60:BA61"/>
    <mergeCell ref="BC60:BC61"/>
    <mergeCell ref="BD60:BD61"/>
    <mergeCell ref="BF60:BF61"/>
    <mergeCell ref="AO60:AO61"/>
    <mergeCell ref="AQ60:AQ61"/>
    <mergeCell ref="AR60:AR61"/>
    <mergeCell ref="AT60:AT61"/>
    <mergeCell ref="AU60:AU61"/>
    <mergeCell ref="AW60:AW61"/>
    <mergeCell ref="AF60:AF61"/>
    <mergeCell ref="AH60:AH61"/>
    <mergeCell ref="AI60:AI61"/>
    <mergeCell ref="AK60:AK61"/>
    <mergeCell ref="AL60:AL61"/>
    <mergeCell ref="AN60:AN61"/>
    <mergeCell ref="W60:W61"/>
    <mergeCell ref="Y60:Y61"/>
    <mergeCell ref="Z60:Z61"/>
    <mergeCell ref="AB60:AB61"/>
    <mergeCell ref="BI62:BI63"/>
    <mergeCell ref="BJ62:BJ63"/>
    <mergeCell ref="BL62:BL63"/>
    <mergeCell ref="BM62:BM63"/>
    <mergeCell ref="A64:A65"/>
    <mergeCell ref="D64:D65"/>
    <mergeCell ref="G64:G65"/>
    <mergeCell ref="J64:J65"/>
    <mergeCell ref="M64:M65"/>
    <mergeCell ref="AX62:AX63"/>
    <mergeCell ref="AZ62:AZ63"/>
    <mergeCell ref="BA62:BA63"/>
    <mergeCell ref="BC62:BC63"/>
    <mergeCell ref="BD62:BD63"/>
    <mergeCell ref="BF62:BF63"/>
    <mergeCell ref="AO62:AO63"/>
    <mergeCell ref="AQ62:AQ63"/>
    <mergeCell ref="AR62:AR63"/>
    <mergeCell ref="AT62:AT63"/>
    <mergeCell ref="AU62:AU63"/>
    <mergeCell ref="AW62:AW63"/>
    <mergeCell ref="AF62:AF63"/>
    <mergeCell ref="AH62:AH63"/>
    <mergeCell ref="AI62:AI63"/>
    <mergeCell ref="AK62:AK63"/>
    <mergeCell ref="AL62:AL63"/>
    <mergeCell ref="AN62:AN63"/>
    <mergeCell ref="W62:W63"/>
    <mergeCell ref="Y62:Y63"/>
    <mergeCell ref="Z62:Z63"/>
    <mergeCell ref="AB62:AB63"/>
    <mergeCell ref="AC62:AC63"/>
    <mergeCell ref="AI64:AI65"/>
    <mergeCell ref="AK64:AK65"/>
    <mergeCell ref="AL64:AL65"/>
    <mergeCell ref="AN64:AN65"/>
    <mergeCell ref="W64:W65"/>
    <mergeCell ref="Y64:Y65"/>
    <mergeCell ref="Z64:Z65"/>
    <mergeCell ref="AB64:AB65"/>
    <mergeCell ref="AC64:AC65"/>
    <mergeCell ref="AE64:AE65"/>
    <mergeCell ref="N64:N65"/>
    <mergeCell ref="P64:P65"/>
    <mergeCell ref="Q64:Q65"/>
    <mergeCell ref="S64:S65"/>
    <mergeCell ref="T64:T65"/>
    <mergeCell ref="V64:V65"/>
    <mergeCell ref="BG62:BG63"/>
    <mergeCell ref="AE62:AE63"/>
    <mergeCell ref="N62:N63"/>
    <mergeCell ref="P62:P63"/>
    <mergeCell ref="Q62:Q63"/>
    <mergeCell ref="S62:S63"/>
    <mergeCell ref="T62:T63"/>
    <mergeCell ref="V62:V63"/>
    <mergeCell ref="AC66:AC67"/>
    <mergeCell ref="AE66:AE67"/>
    <mergeCell ref="N66:N67"/>
    <mergeCell ref="P66:P67"/>
    <mergeCell ref="Q66:Q67"/>
    <mergeCell ref="S66:S67"/>
    <mergeCell ref="T66:T67"/>
    <mergeCell ref="V66:V67"/>
    <mergeCell ref="BG64:BG65"/>
    <mergeCell ref="BI64:BI65"/>
    <mergeCell ref="BJ64:BJ65"/>
    <mergeCell ref="BL64:BL65"/>
    <mergeCell ref="BM64:BM65"/>
    <mergeCell ref="A66:A67"/>
    <mergeCell ref="D66:D67"/>
    <mergeCell ref="G66:G67"/>
    <mergeCell ref="J66:J67"/>
    <mergeCell ref="M66:M67"/>
    <mergeCell ref="AX64:AX65"/>
    <mergeCell ref="AZ64:AZ65"/>
    <mergeCell ref="BA64:BA65"/>
    <mergeCell ref="BC64:BC65"/>
    <mergeCell ref="BD64:BD65"/>
    <mergeCell ref="BF64:BF65"/>
    <mergeCell ref="AO64:AO65"/>
    <mergeCell ref="AQ64:AQ65"/>
    <mergeCell ref="AR64:AR65"/>
    <mergeCell ref="AT64:AT65"/>
    <mergeCell ref="AU64:AU65"/>
    <mergeCell ref="AW64:AW65"/>
    <mergeCell ref="AF64:AF65"/>
    <mergeCell ref="AH64:AH65"/>
    <mergeCell ref="BG66:BG67"/>
    <mergeCell ref="BI66:BI67"/>
    <mergeCell ref="BJ66:BJ67"/>
    <mergeCell ref="BL66:BL67"/>
    <mergeCell ref="BM66:BM67"/>
    <mergeCell ref="A68:A69"/>
    <mergeCell ref="D68:D69"/>
    <mergeCell ref="G68:G69"/>
    <mergeCell ref="J68:J69"/>
    <mergeCell ref="M68:M69"/>
    <mergeCell ref="AX66:AX67"/>
    <mergeCell ref="AZ66:AZ67"/>
    <mergeCell ref="BA66:BA67"/>
    <mergeCell ref="BC66:BC67"/>
    <mergeCell ref="BD66:BD67"/>
    <mergeCell ref="BF66:BF67"/>
    <mergeCell ref="AO66:AO67"/>
    <mergeCell ref="AQ66:AQ67"/>
    <mergeCell ref="AR66:AR67"/>
    <mergeCell ref="AT66:AT67"/>
    <mergeCell ref="AU66:AU67"/>
    <mergeCell ref="AW66:AW67"/>
    <mergeCell ref="AF66:AF67"/>
    <mergeCell ref="AH66:AH67"/>
    <mergeCell ref="AI66:AI67"/>
    <mergeCell ref="AK66:AK67"/>
    <mergeCell ref="AL66:AL67"/>
    <mergeCell ref="AN66:AN67"/>
    <mergeCell ref="W66:W67"/>
    <mergeCell ref="Y66:Y67"/>
    <mergeCell ref="Z66:Z67"/>
    <mergeCell ref="AB66:AB67"/>
    <mergeCell ref="BI68:BI69"/>
    <mergeCell ref="BJ68:BJ69"/>
    <mergeCell ref="BL68:BL69"/>
    <mergeCell ref="BM68:BM69"/>
    <mergeCell ref="A70:A71"/>
    <mergeCell ref="D70:D71"/>
    <mergeCell ref="G70:G71"/>
    <mergeCell ref="J70:J71"/>
    <mergeCell ref="M70:M71"/>
    <mergeCell ref="AX68:AX69"/>
    <mergeCell ref="AZ68:AZ69"/>
    <mergeCell ref="BA68:BA69"/>
    <mergeCell ref="BC68:BC69"/>
    <mergeCell ref="BD68:BD69"/>
    <mergeCell ref="BF68:BF69"/>
    <mergeCell ref="AO68:AO69"/>
    <mergeCell ref="AQ68:AQ69"/>
    <mergeCell ref="AR68:AR69"/>
    <mergeCell ref="AT68:AT69"/>
    <mergeCell ref="AU68:AU69"/>
    <mergeCell ref="AW68:AW69"/>
    <mergeCell ref="AF68:AF69"/>
    <mergeCell ref="AH68:AH69"/>
    <mergeCell ref="AI68:AI69"/>
    <mergeCell ref="AK68:AK69"/>
    <mergeCell ref="AL68:AL69"/>
    <mergeCell ref="AN68:AN69"/>
    <mergeCell ref="W68:W69"/>
    <mergeCell ref="Y68:Y69"/>
    <mergeCell ref="Z68:Z69"/>
    <mergeCell ref="AB68:AB69"/>
    <mergeCell ref="AC68:AC69"/>
    <mergeCell ref="AI70:AI71"/>
    <mergeCell ref="AK70:AK71"/>
    <mergeCell ref="AL70:AL71"/>
    <mergeCell ref="AN70:AN71"/>
    <mergeCell ref="W70:W71"/>
    <mergeCell ref="Y70:Y71"/>
    <mergeCell ref="Z70:Z71"/>
    <mergeCell ref="AB70:AB71"/>
    <mergeCell ref="AC70:AC71"/>
    <mergeCell ref="AE70:AE71"/>
    <mergeCell ref="N70:N71"/>
    <mergeCell ref="P70:P71"/>
    <mergeCell ref="Q70:Q71"/>
    <mergeCell ref="S70:S71"/>
    <mergeCell ref="T70:T71"/>
    <mergeCell ref="V70:V71"/>
    <mergeCell ref="BG68:BG69"/>
    <mergeCell ref="AE68:AE69"/>
    <mergeCell ref="N68:N69"/>
    <mergeCell ref="P68:P69"/>
    <mergeCell ref="Q68:Q69"/>
    <mergeCell ref="S68:S69"/>
    <mergeCell ref="T68:T69"/>
    <mergeCell ref="V68:V69"/>
    <mergeCell ref="AC72:AC73"/>
    <mergeCell ref="AE72:AE73"/>
    <mergeCell ref="N72:N73"/>
    <mergeCell ref="P72:P73"/>
    <mergeCell ref="Q72:Q73"/>
    <mergeCell ref="S72:S73"/>
    <mergeCell ref="T72:T73"/>
    <mergeCell ref="V72:V73"/>
    <mergeCell ref="BG70:BG71"/>
    <mergeCell ref="BI70:BI71"/>
    <mergeCell ref="BJ70:BJ71"/>
    <mergeCell ref="BL70:BL71"/>
    <mergeCell ref="BM70:BM71"/>
    <mergeCell ref="A72:A73"/>
    <mergeCell ref="D72:D73"/>
    <mergeCell ref="G72:G73"/>
    <mergeCell ref="J72:J73"/>
    <mergeCell ref="M72:M73"/>
    <mergeCell ref="AX70:AX71"/>
    <mergeCell ref="AZ70:AZ71"/>
    <mergeCell ref="BA70:BA71"/>
    <mergeCell ref="BC70:BC71"/>
    <mergeCell ref="BD70:BD71"/>
    <mergeCell ref="BF70:BF71"/>
    <mergeCell ref="AO70:AO71"/>
    <mergeCell ref="AQ70:AQ71"/>
    <mergeCell ref="AR70:AR71"/>
    <mergeCell ref="AT70:AT71"/>
    <mergeCell ref="AU70:AU71"/>
    <mergeCell ref="AW70:AW71"/>
    <mergeCell ref="AF70:AF71"/>
    <mergeCell ref="AH70:AH71"/>
    <mergeCell ref="BG72:BG73"/>
    <mergeCell ref="BI72:BI73"/>
    <mergeCell ref="BJ72:BJ73"/>
    <mergeCell ref="BL72:BL73"/>
    <mergeCell ref="BM72:BM73"/>
    <mergeCell ref="A74:A75"/>
    <mergeCell ref="D74:D75"/>
    <mergeCell ref="G74:G75"/>
    <mergeCell ref="J74:J75"/>
    <mergeCell ref="M74:M75"/>
    <mergeCell ref="AX72:AX73"/>
    <mergeCell ref="AZ72:AZ73"/>
    <mergeCell ref="BA72:BA73"/>
    <mergeCell ref="BC72:BC73"/>
    <mergeCell ref="BD72:BD73"/>
    <mergeCell ref="BF72:BF73"/>
    <mergeCell ref="AO72:AO73"/>
    <mergeCell ref="AQ72:AQ73"/>
    <mergeCell ref="AR72:AR73"/>
    <mergeCell ref="AT72:AT73"/>
    <mergeCell ref="AU72:AU73"/>
    <mergeCell ref="AW72:AW73"/>
    <mergeCell ref="AF72:AF73"/>
    <mergeCell ref="AH72:AH73"/>
    <mergeCell ref="AI72:AI73"/>
    <mergeCell ref="AK72:AK73"/>
    <mergeCell ref="AL72:AL73"/>
    <mergeCell ref="AN72:AN73"/>
    <mergeCell ref="W72:W73"/>
    <mergeCell ref="Y72:Y73"/>
    <mergeCell ref="Z72:Z73"/>
    <mergeCell ref="AB72:AB73"/>
    <mergeCell ref="BL74:BL75"/>
    <mergeCell ref="BM74:BM75"/>
    <mergeCell ref="A76:A77"/>
    <mergeCell ref="D76:D77"/>
    <mergeCell ref="G76:G77"/>
    <mergeCell ref="J76:J77"/>
    <mergeCell ref="M76:M77"/>
    <mergeCell ref="AX74:AX75"/>
    <mergeCell ref="AZ74:AZ75"/>
    <mergeCell ref="BA74:BA75"/>
    <mergeCell ref="BC74:BC75"/>
    <mergeCell ref="BD74:BD75"/>
    <mergeCell ref="BF74:BF75"/>
    <mergeCell ref="AO74:AO75"/>
    <mergeCell ref="AQ74:AQ75"/>
    <mergeCell ref="AR74:AR75"/>
    <mergeCell ref="AT74:AT75"/>
    <mergeCell ref="AU74:AU75"/>
    <mergeCell ref="AW74:AW75"/>
    <mergeCell ref="AF74:AF75"/>
    <mergeCell ref="AH74:AH75"/>
    <mergeCell ref="AI74:AI75"/>
    <mergeCell ref="AK74:AK75"/>
    <mergeCell ref="AL74:AL75"/>
    <mergeCell ref="AN74:AN75"/>
    <mergeCell ref="W74:W75"/>
    <mergeCell ref="Y74:Y75"/>
    <mergeCell ref="Z74:Z75"/>
    <mergeCell ref="AB74:AB75"/>
    <mergeCell ref="AC74:AC75"/>
    <mergeCell ref="AE74:AE75"/>
    <mergeCell ref="N74:N75"/>
    <mergeCell ref="AL76:AL77"/>
    <mergeCell ref="AN76:AN77"/>
    <mergeCell ref="W76:W77"/>
    <mergeCell ref="Y76:Y77"/>
    <mergeCell ref="Z76:Z77"/>
    <mergeCell ref="AB76:AB77"/>
    <mergeCell ref="AC76:AC77"/>
    <mergeCell ref="AE76:AE77"/>
    <mergeCell ref="N76:N77"/>
    <mergeCell ref="P76:P77"/>
    <mergeCell ref="Q76:Q77"/>
    <mergeCell ref="S76:S77"/>
    <mergeCell ref="T76:T77"/>
    <mergeCell ref="V76:V77"/>
    <mergeCell ref="BG74:BG75"/>
    <mergeCell ref="BI74:BI75"/>
    <mergeCell ref="BJ74:BJ75"/>
    <mergeCell ref="P74:P75"/>
    <mergeCell ref="Q74:Q75"/>
    <mergeCell ref="S74:S75"/>
    <mergeCell ref="T74:T75"/>
    <mergeCell ref="V74:V75"/>
    <mergeCell ref="K78:K79"/>
    <mergeCell ref="M78:M79"/>
    <mergeCell ref="N78:N79"/>
    <mergeCell ref="P78:P79"/>
    <mergeCell ref="Q78:Q79"/>
    <mergeCell ref="S78:S79"/>
    <mergeCell ref="BG76:BG77"/>
    <mergeCell ref="BI76:BI77"/>
    <mergeCell ref="BJ76:BJ77"/>
    <mergeCell ref="BL76:BL77"/>
    <mergeCell ref="BM76:BM77"/>
    <mergeCell ref="A78:A79"/>
    <mergeCell ref="D78:D79"/>
    <mergeCell ref="G78:G79"/>
    <mergeCell ref="H78:H79"/>
    <mergeCell ref="J78:J79"/>
    <mergeCell ref="AX76:AX77"/>
    <mergeCell ref="AZ76:AZ77"/>
    <mergeCell ref="BA76:BA77"/>
    <mergeCell ref="BC76:BC77"/>
    <mergeCell ref="BD76:BD77"/>
    <mergeCell ref="BF76:BF77"/>
    <mergeCell ref="AO76:AO77"/>
    <mergeCell ref="AQ76:AQ77"/>
    <mergeCell ref="AR76:AR77"/>
    <mergeCell ref="AT76:AT77"/>
    <mergeCell ref="AU76:AU77"/>
    <mergeCell ref="AW76:AW77"/>
    <mergeCell ref="AF76:AF77"/>
    <mergeCell ref="AH76:AH77"/>
    <mergeCell ref="AI76:AI77"/>
    <mergeCell ref="AK76:AK77"/>
    <mergeCell ref="AX78:AX79"/>
    <mergeCell ref="AZ78:AZ79"/>
    <mergeCell ref="BA78:BA79"/>
    <mergeCell ref="BC78:BC79"/>
    <mergeCell ref="AL78:AL79"/>
    <mergeCell ref="AN78:AN79"/>
    <mergeCell ref="AO78:AO79"/>
    <mergeCell ref="AQ78:AQ79"/>
    <mergeCell ref="AR78:AR79"/>
    <mergeCell ref="AT78:AT79"/>
    <mergeCell ref="AC78:AC79"/>
    <mergeCell ref="AE78:AE79"/>
    <mergeCell ref="AF78:AF79"/>
    <mergeCell ref="AH78:AH79"/>
    <mergeCell ref="AI78:AI79"/>
    <mergeCell ref="AK78:AK79"/>
    <mergeCell ref="T78:T79"/>
    <mergeCell ref="V78:V79"/>
    <mergeCell ref="W78:W79"/>
    <mergeCell ref="Y78:Y79"/>
    <mergeCell ref="Z78:Z79"/>
    <mergeCell ref="AB78:AB79"/>
    <mergeCell ref="AR80:AR81"/>
    <mergeCell ref="AT80:AT81"/>
    <mergeCell ref="AC80:AC81"/>
    <mergeCell ref="AE80:AE81"/>
    <mergeCell ref="AF80:AF81"/>
    <mergeCell ref="AH80:AH81"/>
    <mergeCell ref="AI80:AI81"/>
    <mergeCell ref="AK80:AK81"/>
    <mergeCell ref="T80:T81"/>
    <mergeCell ref="V80:V81"/>
    <mergeCell ref="W80:W81"/>
    <mergeCell ref="Y80:Y81"/>
    <mergeCell ref="Z80:Z81"/>
    <mergeCell ref="AB80:AB81"/>
    <mergeCell ref="BM78:BM79"/>
    <mergeCell ref="A80:A81"/>
    <mergeCell ref="D80:D81"/>
    <mergeCell ref="G80:G81"/>
    <mergeCell ref="J80:J81"/>
    <mergeCell ref="M80:M81"/>
    <mergeCell ref="N80:N81"/>
    <mergeCell ref="P80:P81"/>
    <mergeCell ref="Q80:Q81"/>
    <mergeCell ref="S80:S81"/>
    <mergeCell ref="BD78:BD79"/>
    <mergeCell ref="BF78:BF79"/>
    <mergeCell ref="BG78:BG79"/>
    <mergeCell ref="BI78:BI79"/>
    <mergeCell ref="BJ78:BJ79"/>
    <mergeCell ref="BL78:BL79"/>
    <mergeCell ref="AU78:AU79"/>
    <mergeCell ref="AW78:AW79"/>
    <mergeCell ref="T82:T83"/>
    <mergeCell ref="V82:V83"/>
    <mergeCell ref="W82:W83"/>
    <mergeCell ref="Y82:Y83"/>
    <mergeCell ref="Z82:Z83"/>
    <mergeCell ref="AB82:AB83"/>
    <mergeCell ref="BM80:BM81"/>
    <mergeCell ref="A82:A83"/>
    <mergeCell ref="D82:D83"/>
    <mergeCell ref="G82:G83"/>
    <mergeCell ref="J82:J83"/>
    <mergeCell ref="M82:M83"/>
    <mergeCell ref="N82:N83"/>
    <mergeCell ref="P82:P83"/>
    <mergeCell ref="Q82:Q83"/>
    <mergeCell ref="S82:S83"/>
    <mergeCell ref="BD80:BD81"/>
    <mergeCell ref="BF80:BF81"/>
    <mergeCell ref="BG80:BG81"/>
    <mergeCell ref="BI80:BI81"/>
    <mergeCell ref="BJ80:BJ81"/>
    <mergeCell ref="BL80:BL81"/>
    <mergeCell ref="AU80:AU81"/>
    <mergeCell ref="AW80:AW81"/>
    <mergeCell ref="AX80:AX81"/>
    <mergeCell ref="AZ80:AZ81"/>
    <mergeCell ref="BA80:BA81"/>
    <mergeCell ref="BC80:BC81"/>
    <mergeCell ref="AL80:AL81"/>
    <mergeCell ref="AN80:AN81"/>
    <mergeCell ref="AO80:AO81"/>
    <mergeCell ref="AQ80:AQ81"/>
    <mergeCell ref="AW82:AW83"/>
    <mergeCell ref="AX82:AX83"/>
    <mergeCell ref="AZ82:AZ83"/>
    <mergeCell ref="BA82:BA83"/>
    <mergeCell ref="BC82:BC83"/>
    <mergeCell ref="AL82:AL83"/>
    <mergeCell ref="AN82:AN83"/>
    <mergeCell ref="AO82:AO83"/>
    <mergeCell ref="AQ82:AQ83"/>
    <mergeCell ref="AR82:AR83"/>
    <mergeCell ref="AT82:AT83"/>
    <mergeCell ref="AC82:AC83"/>
    <mergeCell ref="AE82:AE83"/>
    <mergeCell ref="AF82:AF83"/>
    <mergeCell ref="AH82:AH83"/>
    <mergeCell ref="AI82:AI83"/>
    <mergeCell ref="AK82:AK83"/>
    <mergeCell ref="AQ84:AQ85"/>
    <mergeCell ref="AR84:AR85"/>
    <mergeCell ref="AT84:AT85"/>
    <mergeCell ref="AC84:AC85"/>
    <mergeCell ref="AE84:AE85"/>
    <mergeCell ref="AF84:AF85"/>
    <mergeCell ref="AH84:AH85"/>
    <mergeCell ref="AI84:AI85"/>
    <mergeCell ref="AK84:AK85"/>
    <mergeCell ref="T84:T85"/>
    <mergeCell ref="V84:V85"/>
    <mergeCell ref="W84:W85"/>
    <mergeCell ref="Y84:Y85"/>
    <mergeCell ref="Z84:Z85"/>
    <mergeCell ref="AB84:AB85"/>
    <mergeCell ref="BM82:BM83"/>
    <mergeCell ref="A84:A85"/>
    <mergeCell ref="D84:D85"/>
    <mergeCell ref="G84:G85"/>
    <mergeCell ref="J84:J85"/>
    <mergeCell ref="M84:M85"/>
    <mergeCell ref="N84:N85"/>
    <mergeCell ref="P84:P85"/>
    <mergeCell ref="Q84:Q85"/>
    <mergeCell ref="S84:S85"/>
    <mergeCell ref="BD82:BD83"/>
    <mergeCell ref="BF82:BF83"/>
    <mergeCell ref="BG82:BG83"/>
    <mergeCell ref="BI82:BI83"/>
    <mergeCell ref="BJ82:BJ83"/>
    <mergeCell ref="BL82:BL83"/>
    <mergeCell ref="AU82:AU83"/>
    <mergeCell ref="AK86:AK87"/>
    <mergeCell ref="T86:T87"/>
    <mergeCell ref="V86:V87"/>
    <mergeCell ref="W86:W87"/>
    <mergeCell ref="Y86:Y87"/>
    <mergeCell ref="Z86:Z87"/>
    <mergeCell ref="AB86:AB87"/>
    <mergeCell ref="BM84:BM85"/>
    <mergeCell ref="A86:A87"/>
    <mergeCell ref="D86:D87"/>
    <mergeCell ref="G86:G87"/>
    <mergeCell ref="J86:J87"/>
    <mergeCell ref="M86:M87"/>
    <mergeCell ref="N86:N87"/>
    <mergeCell ref="P86:P87"/>
    <mergeCell ref="Q86:Q87"/>
    <mergeCell ref="S86:S87"/>
    <mergeCell ref="BD84:BD85"/>
    <mergeCell ref="BF84:BF85"/>
    <mergeCell ref="BG84:BG85"/>
    <mergeCell ref="BI84:BI85"/>
    <mergeCell ref="BJ84:BJ85"/>
    <mergeCell ref="BL84:BL85"/>
    <mergeCell ref="AU84:AU85"/>
    <mergeCell ref="AW84:AW85"/>
    <mergeCell ref="AX84:AX85"/>
    <mergeCell ref="AZ84:AZ85"/>
    <mergeCell ref="BA84:BA85"/>
    <mergeCell ref="BC84:BC85"/>
    <mergeCell ref="AL84:AL85"/>
    <mergeCell ref="AN84:AN85"/>
    <mergeCell ref="AO84:AO85"/>
    <mergeCell ref="A88:A89"/>
    <mergeCell ref="D88:D89"/>
    <mergeCell ref="G88:G89"/>
    <mergeCell ref="J88:J89"/>
    <mergeCell ref="M88:M89"/>
    <mergeCell ref="N88:N89"/>
    <mergeCell ref="P88:P89"/>
    <mergeCell ref="Q88:Q89"/>
    <mergeCell ref="S88:S89"/>
    <mergeCell ref="BD86:BD87"/>
    <mergeCell ref="BF86:BF87"/>
    <mergeCell ref="BG86:BG87"/>
    <mergeCell ref="BI86:BI87"/>
    <mergeCell ref="BJ86:BJ87"/>
    <mergeCell ref="BL86:BL87"/>
    <mergeCell ref="AU86:AU87"/>
    <mergeCell ref="AW86:AW87"/>
    <mergeCell ref="AX86:AX87"/>
    <mergeCell ref="AZ86:AZ87"/>
    <mergeCell ref="BA86:BA87"/>
    <mergeCell ref="BC86:BC87"/>
    <mergeCell ref="AL86:AL87"/>
    <mergeCell ref="AN86:AN87"/>
    <mergeCell ref="AO86:AO87"/>
    <mergeCell ref="AQ86:AQ87"/>
    <mergeCell ref="AR86:AR87"/>
    <mergeCell ref="AT86:AT87"/>
    <mergeCell ref="AC86:AC87"/>
    <mergeCell ref="AE86:AE87"/>
    <mergeCell ref="AF86:AF87"/>
    <mergeCell ref="AH86:AH87"/>
    <mergeCell ref="AI86:AI87"/>
    <mergeCell ref="AX88:AX89"/>
    <mergeCell ref="AZ88:AZ89"/>
    <mergeCell ref="BA88:BA89"/>
    <mergeCell ref="BC88:BC89"/>
    <mergeCell ref="AL88:AL89"/>
    <mergeCell ref="AN88:AN89"/>
    <mergeCell ref="AO88:AO89"/>
    <mergeCell ref="AQ88:AQ89"/>
    <mergeCell ref="AR88:AR89"/>
    <mergeCell ref="AT88:AT89"/>
    <mergeCell ref="AC88:AC89"/>
    <mergeCell ref="AE88:AE89"/>
    <mergeCell ref="AF88:AF89"/>
    <mergeCell ref="AH88:AH89"/>
    <mergeCell ref="AI88:AI89"/>
    <mergeCell ref="AK88:AK89"/>
    <mergeCell ref="T88:T89"/>
    <mergeCell ref="V88:V89"/>
    <mergeCell ref="W88:W89"/>
    <mergeCell ref="Y88:Y89"/>
    <mergeCell ref="Z88:Z89"/>
    <mergeCell ref="AB88:AB89"/>
    <mergeCell ref="AR90:AR91"/>
    <mergeCell ref="AT90:AT91"/>
    <mergeCell ref="AC90:AC91"/>
    <mergeCell ref="AE90:AE91"/>
    <mergeCell ref="AF90:AF91"/>
    <mergeCell ref="AH90:AH91"/>
    <mergeCell ref="AI90:AI91"/>
    <mergeCell ref="AK90:AK91"/>
    <mergeCell ref="T90:T91"/>
    <mergeCell ref="V90:V91"/>
    <mergeCell ref="W90:W91"/>
    <mergeCell ref="Y90:Y91"/>
    <mergeCell ref="Z90:Z91"/>
    <mergeCell ref="AB90:AB91"/>
    <mergeCell ref="BM88:BM89"/>
    <mergeCell ref="A90:A91"/>
    <mergeCell ref="D90:D91"/>
    <mergeCell ref="G90:G91"/>
    <mergeCell ref="J90:J91"/>
    <mergeCell ref="M90:M91"/>
    <mergeCell ref="N90:N91"/>
    <mergeCell ref="P90:P91"/>
    <mergeCell ref="Q90:Q91"/>
    <mergeCell ref="S90:S91"/>
    <mergeCell ref="BD88:BD89"/>
    <mergeCell ref="BF88:BF89"/>
    <mergeCell ref="BG88:BG89"/>
    <mergeCell ref="BI88:BI89"/>
    <mergeCell ref="BJ88:BJ89"/>
    <mergeCell ref="BL88:BL89"/>
    <mergeCell ref="AU88:AU89"/>
    <mergeCell ref="AW88:AW89"/>
    <mergeCell ref="T92:T93"/>
    <mergeCell ref="V92:V93"/>
    <mergeCell ref="W92:W93"/>
    <mergeCell ref="Y92:Y93"/>
    <mergeCell ref="Z92:Z93"/>
    <mergeCell ref="AB92:AB93"/>
    <mergeCell ref="BM90:BM91"/>
    <mergeCell ref="A92:A93"/>
    <mergeCell ref="D92:D93"/>
    <mergeCell ref="G92:G93"/>
    <mergeCell ref="J92:J93"/>
    <mergeCell ref="M92:M93"/>
    <mergeCell ref="N92:N93"/>
    <mergeCell ref="P92:P93"/>
    <mergeCell ref="Q92:Q93"/>
    <mergeCell ref="S92:S93"/>
    <mergeCell ref="BD90:BD91"/>
    <mergeCell ref="BF90:BF91"/>
    <mergeCell ref="BG90:BG91"/>
    <mergeCell ref="BI90:BI91"/>
    <mergeCell ref="BJ90:BJ91"/>
    <mergeCell ref="BL90:BL91"/>
    <mergeCell ref="AU90:AU91"/>
    <mergeCell ref="AW90:AW91"/>
    <mergeCell ref="AX90:AX91"/>
    <mergeCell ref="AZ90:AZ91"/>
    <mergeCell ref="BA90:BA91"/>
    <mergeCell ref="BC90:BC91"/>
    <mergeCell ref="AL90:AL91"/>
    <mergeCell ref="AN90:AN91"/>
    <mergeCell ref="AO90:AO91"/>
    <mergeCell ref="AQ90:AQ91"/>
    <mergeCell ref="AW92:AW93"/>
    <mergeCell ref="AX92:AX93"/>
    <mergeCell ref="AZ92:AZ93"/>
    <mergeCell ref="BA92:BA93"/>
    <mergeCell ref="BC92:BC93"/>
    <mergeCell ref="AL92:AL93"/>
    <mergeCell ref="AN92:AN93"/>
    <mergeCell ref="AO92:AO93"/>
    <mergeCell ref="AQ92:AQ93"/>
    <mergeCell ref="AR92:AR93"/>
    <mergeCell ref="AT92:AT93"/>
    <mergeCell ref="AC92:AC93"/>
    <mergeCell ref="AE92:AE93"/>
    <mergeCell ref="AF92:AF93"/>
    <mergeCell ref="AH92:AH93"/>
    <mergeCell ref="AI92:AI93"/>
    <mergeCell ref="AK92:AK93"/>
    <mergeCell ref="AQ94:AQ95"/>
    <mergeCell ref="AR94:AR95"/>
    <mergeCell ref="AT94:AT95"/>
    <mergeCell ref="AC94:AC95"/>
    <mergeCell ref="AE94:AE95"/>
    <mergeCell ref="AF94:AF95"/>
    <mergeCell ref="AH94:AH95"/>
    <mergeCell ref="AI94:AI95"/>
    <mergeCell ref="AK94:AK95"/>
    <mergeCell ref="T94:T95"/>
    <mergeCell ref="V94:V95"/>
    <mergeCell ref="W94:W95"/>
    <mergeCell ref="Y94:Y95"/>
    <mergeCell ref="Z94:Z95"/>
    <mergeCell ref="AB94:AB95"/>
    <mergeCell ref="BM92:BM93"/>
    <mergeCell ref="A94:A95"/>
    <mergeCell ref="D94:D95"/>
    <mergeCell ref="G94:G95"/>
    <mergeCell ref="J94:J95"/>
    <mergeCell ref="M94:M95"/>
    <mergeCell ref="N94:N95"/>
    <mergeCell ref="P94:P95"/>
    <mergeCell ref="Q94:Q95"/>
    <mergeCell ref="S94:S95"/>
    <mergeCell ref="BD92:BD93"/>
    <mergeCell ref="BF92:BF93"/>
    <mergeCell ref="BG92:BG93"/>
    <mergeCell ref="BI92:BI93"/>
    <mergeCell ref="BJ92:BJ93"/>
    <mergeCell ref="BL92:BL93"/>
    <mergeCell ref="AU92:AU93"/>
    <mergeCell ref="AK96:AK97"/>
    <mergeCell ref="T96:T97"/>
    <mergeCell ref="V96:V97"/>
    <mergeCell ref="W96:W97"/>
    <mergeCell ref="Y96:Y97"/>
    <mergeCell ref="Z96:Z97"/>
    <mergeCell ref="AB96:AB97"/>
    <mergeCell ref="BM94:BM95"/>
    <mergeCell ref="A96:A97"/>
    <mergeCell ref="D96:D97"/>
    <mergeCell ref="G96:G97"/>
    <mergeCell ref="J96:J97"/>
    <mergeCell ref="M96:M97"/>
    <mergeCell ref="N96:N97"/>
    <mergeCell ref="P96:P97"/>
    <mergeCell ref="Q96:Q97"/>
    <mergeCell ref="S96:S97"/>
    <mergeCell ref="BD94:BD95"/>
    <mergeCell ref="BF94:BF95"/>
    <mergeCell ref="BG94:BG95"/>
    <mergeCell ref="BI94:BI95"/>
    <mergeCell ref="BJ94:BJ95"/>
    <mergeCell ref="BL94:BL95"/>
    <mergeCell ref="AU94:AU95"/>
    <mergeCell ref="AW94:AW95"/>
    <mergeCell ref="AX94:AX95"/>
    <mergeCell ref="AZ94:AZ95"/>
    <mergeCell ref="BA94:BA95"/>
    <mergeCell ref="BC94:BC95"/>
    <mergeCell ref="AL94:AL95"/>
    <mergeCell ref="AN94:AN95"/>
    <mergeCell ref="AO94:AO95"/>
    <mergeCell ref="A98:A99"/>
    <mergeCell ref="D98:D99"/>
    <mergeCell ref="G98:G99"/>
    <mergeCell ref="J98:J99"/>
    <mergeCell ref="M98:M99"/>
    <mergeCell ref="N98:N99"/>
    <mergeCell ref="P98:P99"/>
    <mergeCell ref="Q98:Q99"/>
    <mergeCell ref="S98:S99"/>
    <mergeCell ref="BD96:BD97"/>
    <mergeCell ref="BF96:BF97"/>
    <mergeCell ref="BG96:BG97"/>
    <mergeCell ref="BI96:BI97"/>
    <mergeCell ref="BJ96:BJ97"/>
    <mergeCell ref="BL96:BL97"/>
    <mergeCell ref="AU96:AU97"/>
    <mergeCell ref="AW96:AW97"/>
    <mergeCell ref="AX96:AX97"/>
    <mergeCell ref="AZ96:AZ97"/>
    <mergeCell ref="BA96:BA97"/>
    <mergeCell ref="BC96:BC97"/>
    <mergeCell ref="AL96:AL97"/>
    <mergeCell ref="AN96:AN97"/>
    <mergeCell ref="AO96:AO97"/>
    <mergeCell ref="AQ96:AQ97"/>
    <mergeCell ref="AR96:AR97"/>
    <mergeCell ref="AT96:AT97"/>
    <mergeCell ref="AC96:AC97"/>
    <mergeCell ref="AE96:AE97"/>
    <mergeCell ref="AF96:AF97"/>
    <mergeCell ref="AH96:AH97"/>
    <mergeCell ref="AI96:AI97"/>
    <mergeCell ref="AX98:AX99"/>
    <mergeCell ref="AZ98:AZ99"/>
    <mergeCell ref="BA98:BA99"/>
    <mergeCell ref="BC98:BC99"/>
    <mergeCell ref="AL98:AL99"/>
    <mergeCell ref="AN98:AN99"/>
    <mergeCell ref="AO98:AO99"/>
    <mergeCell ref="AQ98:AQ99"/>
    <mergeCell ref="AR98:AR99"/>
    <mergeCell ref="AT98:AT99"/>
    <mergeCell ref="AC98:AC99"/>
    <mergeCell ref="AE98:AE99"/>
    <mergeCell ref="AF98:AF99"/>
    <mergeCell ref="AH98:AH99"/>
    <mergeCell ref="AI98:AI99"/>
    <mergeCell ref="AK98:AK99"/>
    <mergeCell ref="T98:T99"/>
    <mergeCell ref="V98:V99"/>
    <mergeCell ref="W98:W99"/>
    <mergeCell ref="Y98:Y99"/>
    <mergeCell ref="Z98:Z99"/>
    <mergeCell ref="AB98:AB99"/>
    <mergeCell ref="AR100:AR101"/>
    <mergeCell ref="AT100:AT101"/>
    <mergeCell ref="AC100:AC101"/>
    <mergeCell ref="AE100:AE101"/>
    <mergeCell ref="AF100:AF101"/>
    <mergeCell ref="AH100:AH101"/>
    <mergeCell ref="AI100:AI101"/>
    <mergeCell ref="AK100:AK101"/>
    <mergeCell ref="T100:T101"/>
    <mergeCell ref="V100:V101"/>
    <mergeCell ref="W100:W101"/>
    <mergeCell ref="Y100:Y101"/>
    <mergeCell ref="Z100:Z101"/>
    <mergeCell ref="AB100:AB101"/>
    <mergeCell ref="BM98:BM99"/>
    <mergeCell ref="A100:A101"/>
    <mergeCell ref="D100:D101"/>
    <mergeCell ref="G100:G101"/>
    <mergeCell ref="J100:J101"/>
    <mergeCell ref="M100:M101"/>
    <mergeCell ref="N100:N101"/>
    <mergeCell ref="P100:P101"/>
    <mergeCell ref="Q100:Q101"/>
    <mergeCell ref="S100:S101"/>
    <mergeCell ref="BD98:BD99"/>
    <mergeCell ref="BF98:BF99"/>
    <mergeCell ref="BG98:BG99"/>
    <mergeCell ref="BI98:BI99"/>
    <mergeCell ref="BJ98:BJ99"/>
    <mergeCell ref="BL98:BL99"/>
    <mergeCell ref="AU98:AU99"/>
    <mergeCell ref="AW98:AW99"/>
    <mergeCell ref="T102:T103"/>
    <mergeCell ref="V102:V103"/>
    <mergeCell ref="W102:W103"/>
    <mergeCell ref="Y102:Y103"/>
    <mergeCell ref="Z102:Z103"/>
    <mergeCell ref="AB102:AB103"/>
    <mergeCell ref="BM100:BM101"/>
    <mergeCell ref="A102:A103"/>
    <mergeCell ref="D102:D103"/>
    <mergeCell ref="G102:G103"/>
    <mergeCell ref="J102:J103"/>
    <mergeCell ref="M102:M103"/>
    <mergeCell ref="N102:N103"/>
    <mergeCell ref="P102:P103"/>
    <mergeCell ref="Q102:Q103"/>
    <mergeCell ref="S102:S103"/>
    <mergeCell ref="BD100:BD101"/>
    <mergeCell ref="BF100:BF101"/>
    <mergeCell ref="BG100:BG101"/>
    <mergeCell ref="BI100:BI101"/>
    <mergeCell ref="BJ100:BJ101"/>
    <mergeCell ref="BL100:BL101"/>
    <mergeCell ref="AU100:AU101"/>
    <mergeCell ref="AW100:AW101"/>
    <mergeCell ref="AX100:AX101"/>
    <mergeCell ref="AZ100:AZ101"/>
    <mergeCell ref="BA100:BA101"/>
    <mergeCell ref="BC100:BC101"/>
    <mergeCell ref="AL100:AL101"/>
    <mergeCell ref="AN100:AN101"/>
    <mergeCell ref="AO100:AO101"/>
    <mergeCell ref="AQ100:AQ101"/>
    <mergeCell ref="AW102:AW103"/>
    <mergeCell ref="AX102:AX103"/>
    <mergeCell ref="AZ102:AZ103"/>
    <mergeCell ref="BA102:BA103"/>
    <mergeCell ref="BC102:BC103"/>
    <mergeCell ref="AL102:AL103"/>
    <mergeCell ref="AN102:AN103"/>
    <mergeCell ref="AO102:AO103"/>
    <mergeCell ref="AQ102:AQ103"/>
    <mergeCell ref="AR102:AR103"/>
    <mergeCell ref="AT102:AT103"/>
    <mergeCell ref="AC102:AC103"/>
    <mergeCell ref="AE102:AE103"/>
    <mergeCell ref="AF102:AF103"/>
    <mergeCell ref="AH102:AH103"/>
    <mergeCell ref="AI102:AI103"/>
    <mergeCell ref="AK102:AK103"/>
    <mergeCell ref="AQ104:AQ105"/>
    <mergeCell ref="AR104:AR105"/>
    <mergeCell ref="AT104:AT105"/>
    <mergeCell ref="AC104:AC105"/>
    <mergeCell ref="AE104:AE105"/>
    <mergeCell ref="AF104:AF105"/>
    <mergeCell ref="AH104:AH105"/>
    <mergeCell ref="AI104:AI105"/>
    <mergeCell ref="AK104:AK105"/>
    <mergeCell ref="T104:T105"/>
    <mergeCell ref="V104:V105"/>
    <mergeCell ref="W104:W105"/>
    <mergeCell ref="Y104:Y105"/>
    <mergeCell ref="Z104:Z105"/>
    <mergeCell ref="AB104:AB105"/>
    <mergeCell ref="BM102:BM103"/>
    <mergeCell ref="A104:A105"/>
    <mergeCell ref="D104:D105"/>
    <mergeCell ref="G104:G105"/>
    <mergeCell ref="J104:J105"/>
    <mergeCell ref="M104:M105"/>
    <mergeCell ref="N104:N105"/>
    <mergeCell ref="P104:P105"/>
    <mergeCell ref="Q104:Q105"/>
    <mergeCell ref="S104:S105"/>
    <mergeCell ref="BD102:BD103"/>
    <mergeCell ref="BF102:BF103"/>
    <mergeCell ref="BG102:BG103"/>
    <mergeCell ref="BI102:BI103"/>
    <mergeCell ref="BJ102:BJ103"/>
    <mergeCell ref="BL102:BL103"/>
    <mergeCell ref="AU102:AU103"/>
    <mergeCell ref="AK106:AK107"/>
    <mergeCell ref="T106:T107"/>
    <mergeCell ref="V106:V107"/>
    <mergeCell ref="W106:W107"/>
    <mergeCell ref="Y106:Y107"/>
    <mergeCell ref="Z106:Z107"/>
    <mergeCell ref="AB106:AB107"/>
    <mergeCell ref="BM104:BM105"/>
    <mergeCell ref="A106:A107"/>
    <mergeCell ref="D106:D107"/>
    <mergeCell ref="G106:G107"/>
    <mergeCell ref="J106:J107"/>
    <mergeCell ref="M106:M107"/>
    <mergeCell ref="N106:N107"/>
    <mergeCell ref="P106:P107"/>
    <mergeCell ref="Q106:Q107"/>
    <mergeCell ref="S106:S107"/>
    <mergeCell ref="BD104:BD105"/>
    <mergeCell ref="BF104:BF105"/>
    <mergeCell ref="BG104:BG105"/>
    <mergeCell ref="BI104:BI105"/>
    <mergeCell ref="BJ104:BJ105"/>
    <mergeCell ref="BL104:BL105"/>
    <mergeCell ref="AU104:AU105"/>
    <mergeCell ref="AW104:AW105"/>
    <mergeCell ref="AX104:AX105"/>
    <mergeCell ref="AZ104:AZ105"/>
    <mergeCell ref="BA104:BA105"/>
    <mergeCell ref="BC104:BC105"/>
    <mergeCell ref="AL104:AL105"/>
    <mergeCell ref="AN104:AN105"/>
    <mergeCell ref="AO104:AO105"/>
    <mergeCell ref="A108:A109"/>
    <mergeCell ref="D108:D109"/>
    <mergeCell ref="G108:G109"/>
    <mergeCell ref="J108:J109"/>
    <mergeCell ref="M108:M109"/>
    <mergeCell ref="N108:N109"/>
    <mergeCell ref="P108:P109"/>
    <mergeCell ref="Q108:Q109"/>
    <mergeCell ref="S108:S109"/>
    <mergeCell ref="BD106:BD107"/>
    <mergeCell ref="BF106:BF107"/>
    <mergeCell ref="BG106:BG107"/>
    <mergeCell ref="BI106:BI107"/>
    <mergeCell ref="BJ106:BJ107"/>
    <mergeCell ref="BL106:BL107"/>
    <mergeCell ref="AU106:AU107"/>
    <mergeCell ref="AW106:AW107"/>
    <mergeCell ref="AX106:AX107"/>
    <mergeCell ref="AZ106:AZ107"/>
    <mergeCell ref="BA106:BA107"/>
    <mergeCell ref="BC106:BC107"/>
    <mergeCell ref="AL106:AL107"/>
    <mergeCell ref="AN106:AN107"/>
    <mergeCell ref="AO106:AO107"/>
    <mergeCell ref="AQ106:AQ107"/>
    <mergeCell ref="AR106:AR107"/>
    <mergeCell ref="AT106:AT107"/>
    <mergeCell ref="AC106:AC107"/>
    <mergeCell ref="AE106:AE107"/>
    <mergeCell ref="AF106:AF107"/>
    <mergeCell ref="AH106:AH107"/>
    <mergeCell ref="AI106:AI107"/>
    <mergeCell ref="BA108:BA109"/>
    <mergeCell ref="BC108:BC109"/>
    <mergeCell ref="AL108:AL109"/>
    <mergeCell ref="AN108:AN109"/>
    <mergeCell ref="AO108:AO109"/>
    <mergeCell ref="AQ108:AQ109"/>
    <mergeCell ref="AR108:AR109"/>
    <mergeCell ref="AT108:AT109"/>
    <mergeCell ref="AC108:AC109"/>
    <mergeCell ref="AE108:AE109"/>
    <mergeCell ref="AF108:AF109"/>
    <mergeCell ref="AH108:AH109"/>
    <mergeCell ref="AI108:AI109"/>
    <mergeCell ref="AK108:AK109"/>
    <mergeCell ref="T108:T109"/>
    <mergeCell ref="V108:V109"/>
    <mergeCell ref="W108:W109"/>
    <mergeCell ref="Y108:Y109"/>
    <mergeCell ref="Z108:Z109"/>
    <mergeCell ref="AB108:AB109"/>
    <mergeCell ref="AC110:AC111"/>
    <mergeCell ref="AE110:AE111"/>
    <mergeCell ref="AF110:AF111"/>
    <mergeCell ref="AH110:AH111"/>
    <mergeCell ref="AI110:AI111"/>
    <mergeCell ref="AK110:AK111"/>
    <mergeCell ref="T110:T111"/>
    <mergeCell ref="V110:V111"/>
    <mergeCell ref="W110:W111"/>
    <mergeCell ref="Y110:Y111"/>
    <mergeCell ref="Z110:Z111"/>
    <mergeCell ref="AB110:AB111"/>
    <mergeCell ref="BM108:BM109"/>
    <mergeCell ref="A110:A111"/>
    <mergeCell ref="D110:D111"/>
    <mergeCell ref="G110:G111"/>
    <mergeCell ref="J110:J111"/>
    <mergeCell ref="M110:M111"/>
    <mergeCell ref="N110:N111"/>
    <mergeCell ref="P110:P111"/>
    <mergeCell ref="Q110:Q111"/>
    <mergeCell ref="S110:S111"/>
    <mergeCell ref="BD108:BD109"/>
    <mergeCell ref="BF108:BF109"/>
    <mergeCell ref="BG108:BG109"/>
    <mergeCell ref="BI108:BI109"/>
    <mergeCell ref="BJ108:BJ109"/>
    <mergeCell ref="BL108:BL109"/>
    <mergeCell ref="AU108:AU109"/>
    <mergeCell ref="AW108:AW109"/>
    <mergeCell ref="AX108:AX109"/>
    <mergeCell ref="AZ108:AZ109"/>
    <mergeCell ref="BD110:BD111"/>
    <mergeCell ref="BF110:BF111"/>
    <mergeCell ref="BG110:BG111"/>
    <mergeCell ref="BI110:BI111"/>
    <mergeCell ref="BJ110:BJ111"/>
    <mergeCell ref="BL110:BL111"/>
    <mergeCell ref="AU110:AU111"/>
    <mergeCell ref="AW110:AW111"/>
    <mergeCell ref="AX110:AX111"/>
    <mergeCell ref="AZ110:AZ111"/>
    <mergeCell ref="BA110:BA111"/>
    <mergeCell ref="BC110:BC111"/>
    <mergeCell ref="AL110:AL111"/>
    <mergeCell ref="AN110:AN111"/>
    <mergeCell ref="AO110:AO111"/>
    <mergeCell ref="AQ110:AQ111"/>
    <mergeCell ref="AR110:AR111"/>
    <mergeCell ref="AT110:AT111"/>
    <mergeCell ref="BM110:BM111"/>
    <mergeCell ref="BO2:BO3"/>
    <mergeCell ref="BP2:BP3"/>
    <mergeCell ref="BO4:BO5"/>
    <mergeCell ref="BP4:BP5"/>
    <mergeCell ref="BO6:BO7"/>
    <mergeCell ref="BP6:BP7"/>
    <mergeCell ref="BO8:BO9"/>
    <mergeCell ref="BP8:BP9"/>
    <mergeCell ref="BO10:BO11"/>
    <mergeCell ref="BM106:BM107"/>
    <mergeCell ref="BM96:BM97"/>
    <mergeCell ref="BM86:BM87"/>
    <mergeCell ref="BO36:BO37"/>
    <mergeCell ref="BP36:BP37"/>
    <mergeCell ref="BO38:BO39"/>
    <mergeCell ref="BP38:BP39"/>
    <mergeCell ref="BO40:BO41"/>
    <mergeCell ref="BP40:BP41"/>
    <mergeCell ref="BO44:BO45"/>
    <mergeCell ref="BP44:BP45"/>
    <mergeCell ref="BO46:BO47"/>
    <mergeCell ref="BP46:BP47"/>
    <mergeCell ref="BO18:BO19"/>
    <mergeCell ref="BP18:BP19"/>
    <mergeCell ref="BO20:BO21"/>
    <mergeCell ref="BP20:BP21"/>
    <mergeCell ref="BO22:BO23"/>
    <mergeCell ref="BP22:BP23"/>
    <mergeCell ref="BP10:BP11"/>
    <mergeCell ref="BO12:BO13"/>
    <mergeCell ref="BP12:BP13"/>
    <mergeCell ref="BO14:BO15"/>
    <mergeCell ref="BP14:BP15"/>
    <mergeCell ref="BO16:BO17"/>
    <mergeCell ref="BP16:BP17"/>
    <mergeCell ref="BO60:BO61"/>
    <mergeCell ref="BP60:BP61"/>
    <mergeCell ref="BO62:BO63"/>
    <mergeCell ref="BP62:BP63"/>
    <mergeCell ref="BO64:BO65"/>
    <mergeCell ref="BP64:BP65"/>
    <mergeCell ref="BO30:BO31"/>
    <mergeCell ref="BP30:BP31"/>
    <mergeCell ref="BO32:BO33"/>
    <mergeCell ref="BP32:BP33"/>
    <mergeCell ref="BO34:BO35"/>
    <mergeCell ref="BP34:BP35"/>
    <mergeCell ref="BO24:BO25"/>
    <mergeCell ref="BP24:BP25"/>
    <mergeCell ref="BO26:BO27"/>
    <mergeCell ref="BP26:BP27"/>
    <mergeCell ref="BO28:BO29"/>
    <mergeCell ref="BP28:BP29"/>
    <mergeCell ref="BO54:BO55"/>
    <mergeCell ref="BP54:BP55"/>
    <mergeCell ref="BO56:BO57"/>
    <mergeCell ref="BP56:BP57"/>
    <mergeCell ref="BO58:BO59"/>
    <mergeCell ref="BP58:BP59"/>
    <mergeCell ref="BO48:BO49"/>
    <mergeCell ref="BP48:BP49"/>
    <mergeCell ref="BO50:BO51"/>
    <mergeCell ref="BP50:BP51"/>
    <mergeCell ref="BO52:BO53"/>
    <mergeCell ref="BP52:BP53"/>
    <mergeCell ref="BO42:BO43"/>
    <mergeCell ref="BP42:BP43"/>
    <mergeCell ref="BO88:BO89"/>
    <mergeCell ref="BP88:BP89"/>
    <mergeCell ref="BO78:BO79"/>
    <mergeCell ref="BP78:BP79"/>
    <mergeCell ref="BO80:BO81"/>
    <mergeCell ref="BP80:BP81"/>
    <mergeCell ref="BO82:BO83"/>
    <mergeCell ref="BP82:BP83"/>
    <mergeCell ref="BO72:BO73"/>
    <mergeCell ref="BP72:BP73"/>
    <mergeCell ref="BO74:BO75"/>
    <mergeCell ref="BP74:BP75"/>
    <mergeCell ref="BO76:BO77"/>
    <mergeCell ref="BP76:BP77"/>
    <mergeCell ref="BO66:BO67"/>
    <mergeCell ref="BP66:BP67"/>
    <mergeCell ref="BO68:BO69"/>
    <mergeCell ref="BP68:BP69"/>
    <mergeCell ref="BO70:BO71"/>
    <mergeCell ref="BP70:BP71"/>
    <mergeCell ref="BO108:BO109"/>
    <mergeCell ref="BP108:BP109"/>
    <mergeCell ref="BO110:BO111"/>
    <mergeCell ref="BP110:BP111"/>
    <mergeCell ref="BR2:BR3"/>
    <mergeCell ref="BS2:BS3"/>
    <mergeCell ref="BR4:BR5"/>
    <mergeCell ref="BS4:BS5"/>
    <mergeCell ref="BR6:BR7"/>
    <mergeCell ref="BS6:BS7"/>
    <mergeCell ref="BO102:BO103"/>
    <mergeCell ref="BP102:BP103"/>
    <mergeCell ref="BO104:BO105"/>
    <mergeCell ref="BP104:BP105"/>
    <mergeCell ref="BO106:BO107"/>
    <mergeCell ref="BP106:BP107"/>
    <mergeCell ref="BO96:BO97"/>
    <mergeCell ref="BP96:BP97"/>
    <mergeCell ref="BO98:BO99"/>
    <mergeCell ref="BP98:BP99"/>
    <mergeCell ref="BO100:BO101"/>
    <mergeCell ref="BP100:BP101"/>
    <mergeCell ref="BO90:BO91"/>
    <mergeCell ref="BP90:BP91"/>
    <mergeCell ref="BO92:BO93"/>
    <mergeCell ref="BP92:BP93"/>
    <mergeCell ref="BO94:BO95"/>
    <mergeCell ref="BP94:BP95"/>
    <mergeCell ref="BO84:BO85"/>
    <mergeCell ref="BP84:BP85"/>
    <mergeCell ref="BO86:BO87"/>
    <mergeCell ref="BP86:BP87"/>
    <mergeCell ref="BR20:BR21"/>
    <mergeCell ref="BS20:BS21"/>
    <mergeCell ref="BR22:BR23"/>
    <mergeCell ref="BS22:BS23"/>
    <mergeCell ref="BR24:BR25"/>
    <mergeCell ref="BS24:BS25"/>
    <mergeCell ref="BR14:BR15"/>
    <mergeCell ref="BS14:BS15"/>
    <mergeCell ref="BR16:BR17"/>
    <mergeCell ref="BS16:BS17"/>
    <mergeCell ref="BR18:BR19"/>
    <mergeCell ref="BS18:BS19"/>
    <mergeCell ref="BR8:BR9"/>
    <mergeCell ref="BS8:BS9"/>
    <mergeCell ref="BR10:BR11"/>
    <mergeCell ref="BS10:BS11"/>
    <mergeCell ref="BR12:BR13"/>
    <mergeCell ref="BS12:BS13"/>
    <mergeCell ref="BR38:BR39"/>
    <mergeCell ref="BS38:BS39"/>
    <mergeCell ref="BR40:BR41"/>
    <mergeCell ref="BS40:BS41"/>
    <mergeCell ref="BR42:BR43"/>
    <mergeCell ref="BS42:BS43"/>
    <mergeCell ref="BR32:BR33"/>
    <mergeCell ref="BS32:BS33"/>
    <mergeCell ref="BR34:BR35"/>
    <mergeCell ref="BS34:BS35"/>
    <mergeCell ref="BR36:BR37"/>
    <mergeCell ref="BS36:BS37"/>
    <mergeCell ref="BR26:BR27"/>
    <mergeCell ref="BS26:BS27"/>
    <mergeCell ref="BR28:BR29"/>
    <mergeCell ref="BS28:BS29"/>
    <mergeCell ref="BR30:BR31"/>
    <mergeCell ref="BS30:BS31"/>
    <mergeCell ref="BR56:BR57"/>
    <mergeCell ref="BS56:BS57"/>
    <mergeCell ref="BR58:BR59"/>
    <mergeCell ref="BS58:BS59"/>
    <mergeCell ref="BR60:BR61"/>
    <mergeCell ref="BS60:BS61"/>
    <mergeCell ref="BR50:BR51"/>
    <mergeCell ref="BS50:BS51"/>
    <mergeCell ref="BR52:BR53"/>
    <mergeCell ref="BS52:BS53"/>
    <mergeCell ref="BR54:BR55"/>
    <mergeCell ref="BS54:BS55"/>
    <mergeCell ref="BR44:BR45"/>
    <mergeCell ref="BS44:BS45"/>
    <mergeCell ref="BR46:BR47"/>
    <mergeCell ref="BS46:BS47"/>
    <mergeCell ref="BR48:BR49"/>
    <mergeCell ref="BS48:BS49"/>
    <mergeCell ref="BR84:BR85"/>
    <mergeCell ref="BS84:BS85"/>
    <mergeCell ref="BR74:BR75"/>
    <mergeCell ref="BS74:BS75"/>
    <mergeCell ref="BR76:BR77"/>
    <mergeCell ref="BS76:BS77"/>
    <mergeCell ref="BR78:BR79"/>
    <mergeCell ref="BS78:BS79"/>
    <mergeCell ref="BR68:BR69"/>
    <mergeCell ref="BS68:BS69"/>
    <mergeCell ref="BR70:BR71"/>
    <mergeCell ref="BS70:BS71"/>
    <mergeCell ref="BR72:BR73"/>
    <mergeCell ref="BS72:BS73"/>
    <mergeCell ref="BR62:BR63"/>
    <mergeCell ref="BS62:BS63"/>
    <mergeCell ref="BR64:BR65"/>
    <mergeCell ref="BS64:BS65"/>
    <mergeCell ref="BR66:BR67"/>
    <mergeCell ref="BS66:BS67"/>
    <mergeCell ref="BW12:BW13"/>
    <mergeCell ref="BZ12:BZ13"/>
    <mergeCell ref="BR110:BR111"/>
    <mergeCell ref="BS110:BS111"/>
    <mergeCell ref="BR104:BR105"/>
    <mergeCell ref="BS104:BS105"/>
    <mergeCell ref="BR106:BR107"/>
    <mergeCell ref="BS106:BS107"/>
    <mergeCell ref="BR108:BR109"/>
    <mergeCell ref="BS108:BS109"/>
    <mergeCell ref="BR98:BR99"/>
    <mergeCell ref="BS98:BS99"/>
    <mergeCell ref="BR100:BR101"/>
    <mergeCell ref="BS100:BS101"/>
    <mergeCell ref="BR102:BR103"/>
    <mergeCell ref="BS102:BS103"/>
    <mergeCell ref="BR92:BR93"/>
    <mergeCell ref="BS92:BS93"/>
    <mergeCell ref="BR94:BR95"/>
    <mergeCell ref="BS94:BS95"/>
    <mergeCell ref="BR96:BR97"/>
    <mergeCell ref="BS96:BS97"/>
    <mergeCell ref="BR86:BR87"/>
    <mergeCell ref="BS86:BS87"/>
    <mergeCell ref="BR88:BR89"/>
    <mergeCell ref="BS88:BS89"/>
    <mergeCell ref="BR90:BR91"/>
    <mergeCell ref="BS90:BS91"/>
    <mergeCell ref="BR80:BR81"/>
    <mergeCell ref="BS80:BS81"/>
    <mergeCell ref="BR82:BR83"/>
    <mergeCell ref="BS82:BS83"/>
    <mergeCell ref="CB6:CB7"/>
    <mergeCell ref="CC6:CC7"/>
    <mergeCell ref="CB8:CB9"/>
    <mergeCell ref="CC8:CC9"/>
    <mergeCell ref="CB10:CB11"/>
    <mergeCell ref="CC10:CC11"/>
    <mergeCell ref="CB12:CB13"/>
    <mergeCell ref="CC12:CC13"/>
    <mergeCell ref="CB14:CB15"/>
    <mergeCell ref="CC14:CC15"/>
    <mergeCell ref="CB16:CB17"/>
    <mergeCell ref="CC16:CC17"/>
    <mergeCell ref="CB18:CB19"/>
    <mergeCell ref="CB20:CB21"/>
    <mergeCell ref="CC20:CC21"/>
    <mergeCell ref="CB22:CB23"/>
    <mergeCell ref="CB24:CB25"/>
    <mergeCell ref="CB60:CB61"/>
    <mergeCell ref="CB62:CB63"/>
    <mergeCell ref="CB64:CB65"/>
    <mergeCell ref="CB66:CB67"/>
    <mergeCell ref="CB68:CB69"/>
    <mergeCell ref="CB70:CB71"/>
    <mergeCell ref="CB72:CB73"/>
    <mergeCell ref="CB74:CB75"/>
    <mergeCell ref="CB76:CB77"/>
    <mergeCell ref="CB78:CB79"/>
    <mergeCell ref="CC78:CC79"/>
    <mergeCell ref="CB80:CB81"/>
    <mergeCell ref="CC80:CC81"/>
    <mergeCell ref="CB82:CB83"/>
    <mergeCell ref="CB26:CB27"/>
    <mergeCell ref="CC26:CC27"/>
    <mergeCell ref="CB28:CB29"/>
    <mergeCell ref="CB30:CB31"/>
    <mergeCell ref="CB32:CB33"/>
    <mergeCell ref="CB34:CB35"/>
    <mergeCell ref="CC34:CC35"/>
    <mergeCell ref="CB36:CB37"/>
    <mergeCell ref="CC36:CC37"/>
    <mergeCell ref="CB38:CB39"/>
    <mergeCell ref="CB40:CB41"/>
    <mergeCell ref="CB42:CB43"/>
    <mergeCell ref="CB44:CB45"/>
    <mergeCell ref="CB46:CB47"/>
    <mergeCell ref="CB48:CB49"/>
    <mergeCell ref="CB50:CB51"/>
    <mergeCell ref="CB52:CB53"/>
    <mergeCell ref="CB104:CB105"/>
    <mergeCell ref="CC104:CC105"/>
    <mergeCell ref="CB106:CB107"/>
    <mergeCell ref="CB108:CB109"/>
    <mergeCell ref="CC108:CC109"/>
    <mergeCell ref="CB110:CB111"/>
    <mergeCell ref="CC110:CC111"/>
    <mergeCell ref="CC52:CC53"/>
    <mergeCell ref="CC54:CC55"/>
    <mergeCell ref="CC56:CC57"/>
    <mergeCell ref="CC64:CC65"/>
    <mergeCell ref="CB84:CB85"/>
    <mergeCell ref="CB86:CB87"/>
    <mergeCell ref="CC86:CC87"/>
    <mergeCell ref="CB88:CB89"/>
    <mergeCell ref="CC88:CC89"/>
    <mergeCell ref="CB90:CB91"/>
    <mergeCell ref="CC90:CC91"/>
    <mergeCell ref="CB92:CB93"/>
    <mergeCell ref="CB94:CB95"/>
    <mergeCell ref="CC94:CC95"/>
    <mergeCell ref="CB96:CB97"/>
    <mergeCell ref="CC96:CC97"/>
    <mergeCell ref="CB98:CB99"/>
    <mergeCell ref="CC98:CC99"/>
    <mergeCell ref="CB100:CB101"/>
    <mergeCell ref="CC100:CC101"/>
    <mergeCell ref="CB102:CB103"/>
    <mergeCell ref="CC102:CC103"/>
    <mergeCell ref="CB54:CB55"/>
    <mergeCell ref="CB56:CB57"/>
    <mergeCell ref="CB58:CB59"/>
    <mergeCell ref="CE6:CE7"/>
    <mergeCell ref="CF6:CF7"/>
    <mergeCell ref="CE8:CE9"/>
    <mergeCell ref="CF8:CF9"/>
    <mergeCell ref="CE10:CE11"/>
    <mergeCell ref="CF10:CF11"/>
    <mergeCell ref="CE12:CE13"/>
    <mergeCell ref="CF12:CF13"/>
    <mergeCell ref="CE14:CE15"/>
    <mergeCell ref="CF14:CF15"/>
    <mergeCell ref="CE16:CE17"/>
    <mergeCell ref="CF16:CF17"/>
    <mergeCell ref="CE18:CE19"/>
    <mergeCell ref="CE20:CE21"/>
    <mergeCell ref="CF20:CF21"/>
    <mergeCell ref="CE22:CE23"/>
    <mergeCell ref="CE24:CE25"/>
    <mergeCell ref="CE26:CE27"/>
    <mergeCell ref="CF26:CF27"/>
    <mergeCell ref="CE28:CE29"/>
    <mergeCell ref="CE30:CE31"/>
    <mergeCell ref="CE32:CE33"/>
    <mergeCell ref="CE34:CE35"/>
    <mergeCell ref="CF34:CF35"/>
    <mergeCell ref="CE36:CE37"/>
    <mergeCell ref="CF36:CF37"/>
    <mergeCell ref="CE38:CE39"/>
    <mergeCell ref="CE40:CE41"/>
    <mergeCell ref="CE42:CE43"/>
    <mergeCell ref="CE44:CE45"/>
    <mergeCell ref="CE46:CE47"/>
    <mergeCell ref="CE48:CE49"/>
    <mergeCell ref="CE50:CE51"/>
    <mergeCell ref="CE52:CE53"/>
    <mergeCell ref="CF52:CF53"/>
    <mergeCell ref="CE102:CE103"/>
    <mergeCell ref="CF102:CF103"/>
    <mergeCell ref="CE104:CE105"/>
    <mergeCell ref="CF104:CF105"/>
    <mergeCell ref="CE106:CE107"/>
    <mergeCell ref="CE108:CE109"/>
    <mergeCell ref="CF108:CF109"/>
    <mergeCell ref="CE110:CE111"/>
    <mergeCell ref="CF110:CF111"/>
    <mergeCell ref="CF66:CF67"/>
    <mergeCell ref="CF76:CF77"/>
    <mergeCell ref="CF62:CF63"/>
    <mergeCell ref="CE80:CE81"/>
    <mergeCell ref="CF80:CF81"/>
    <mergeCell ref="CE82:CE83"/>
    <mergeCell ref="CE84:CE85"/>
    <mergeCell ref="CE86:CE87"/>
    <mergeCell ref="CF86:CF87"/>
    <mergeCell ref="CE88:CE89"/>
    <mergeCell ref="CF88:CF89"/>
    <mergeCell ref="CE90:CE91"/>
    <mergeCell ref="CF90:CF91"/>
    <mergeCell ref="CE92:CE93"/>
    <mergeCell ref="CE94:CE95"/>
    <mergeCell ref="CF94:CF95"/>
    <mergeCell ref="CE96:CE97"/>
    <mergeCell ref="CF96:CF97"/>
    <mergeCell ref="CE98:CE99"/>
    <mergeCell ref="CF98:CF99"/>
    <mergeCell ref="CE62:CE63"/>
    <mergeCell ref="CE64:CE65"/>
    <mergeCell ref="CF64:CF65"/>
    <mergeCell ref="CO6:CO7"/>
    <mergeCell ref="CP6:CP7"/>
    <mergeCell ref="CR6:CR7"/>
    <mergeCell ref="CS6:CS7"/>
    <mergeCell ref="CO8:CO9"/>
    <mergeCell ref="CP8:CP9"/>
    <mergeCell ref="CR8:CR9"/>
    <mergeCell ref="CS8:CS9"/>
    <mergeCell ref="CO10:CO11"/>
    <mergeCell ref="CP10:CP11"/>
    <mergeCell ref="CR10:CR11"/>
    <mergeCell ref="CS10:CS11"/>
    <mergeCell ref="CO12:CO13"/>
    <mergeCell ref="CP12:CP13"/>
    <mergeCell ref="CR12:CR13"/>
    <mergeCell ref="CS12:CS13"/>
    <mergeCell ref="CE100:CE101"/>
    <mergeCell ref="CF100:CF101"/>
    <mergeCell ref="CE54:CE55"/>
    <mergeCell ref="CF54:CF55"/>
    <mergeCell ref="CE56:CE57"/>
    <mergeCell ref="CF56:CF57"/>
    <mergeCell ref="CE58:CE59"/>
    <mergeCell ref="CE60:CE61"/>
    <mergeCell ref="CE66:CE67"/>
    <mergeCell ref="CE68:CE69"/>
    <mergeCell ref="CE70:CE71"/>
    <mergeCell ref="CE72:CE73"/>
    <mergeCell ref="CE74:CE75"/>
    <mergeCell ref="CE76:CE77"/>
    <mergeCell ref="CE78:CE79"/>
    <mergeCell ref="CF78:CF79"/>
    <mergeCell ref="CU6:CU7"/>
    <mergeCell ref="CV6:CV7"/>
    <mergeCell ref="CU8:CU9"/>
    <mergeCell ref="CV8:CV9"/>
    <mergeCell ref="CU10:CU11"/>
    <mergeCell ref="CV10:CV11"/>
    <mergeCell ref="CU12:CU13"/>
    <mergeCell ref="CV12:CV13"/>
    <mergeCell ref="CU14:CU15"/>
    <mergeCell ref="CV14:CV15"/>
    <mergeCell ref="CU16:CU17"/>
    <mergeCell ref="CV16:CV17"/>
    <mergeCell ref="CU18:CU19"/>
    <mergeCell ref="CV18:CV19"/>
    <mergeCell ref="CU20:CU21"/>
    <mergeCell ref="CV20:CV21"/>
    <mergeCell ref="CU22:CU23"/>
    <mergeCell ref="CV22:CV23"/>
    <mergeCell ref="CU26:CU27"/>
    <mergeCell ref="CV26:CV27"/>
    <mergeCell ref="CU34:CU35"/>
    <mergeCell ref="CV34:CV35"/>
    <mergeCell ref="CU36:CU37"/>
    <mergeCell ref="CV36:CV37"/>
    <mergeCell ref="CU48:CU49"/>
    <mergeCell ref="CV48:CV49"/>
    <mergeCell ref="CU52:CU53"/>
    <mergeCell ref="CV52:CV53"/>
    <mergeCell ref="CU54:CU55"/>
    <mergeCell ref="CV54:CV55"/>
    <mergeCell ref="CU56:CU57"/>
    <mergeCell ref="CV56:CV57"/>
    <mergeCell ref="CU58:CU59"/>
    <mergeCell ref="CV58:CV59"/>
    <mergeCell ref="CU60:CU61"/>
    <mergeCell ref="CV60:CV61"/>
    <mergeCell ref="CU98:CU99"/>
    <mergeCell ref="CV98:CV99"/>
    <mergeCell ref="CU100:CU101"/>
    <mergeCell ref="CV100:CV101"/>
    <mergeCell ref="CU102:CU103"/>
    <mergeCell ref="CV102:CV103"/>
    <mergeCell ref="CU62:CU63"/>
    <mergeCell ref="CV62:CV63"/>
    <mergeCell ref="CU64:CU65"/>
    <mergeCell ref="CV64:CV65"/>
    <mergeCell ref="CU66:CU67"/>
    <mergeCell ref="CV66:CV67"/>
    <mergeCell ref="CU68:CU69"/>
    <mergeCell ref="CV68:CV69"/>
    <mergeCell ref="CU70:CU71"/>
    <mergeCell ref="CV70:CV71"/>
    <mergeCell ref="CU72:CU73"/>
    <mergeCell ref="CV72:CV73"/>
    <mergeCell ref="CU74:CU75"/>
    <mergeCell ref="CV74:CV75"/>
    <mergeCell ref="CU76:CU77"/>
    <mergeCell ref="CV76:CV77"/>
    <mergeCell ref="CU78:CU79"/>
    <mergeCell ref="CV78:CV79"/>
    <mergeCell ref="DI110:DI111"/>
    <mergeCell ref="DD110:DD111"/>
    <mergeCell ref="DL110:DL111"/>
    <mergeCell ref="DJ6:DJ7"/>
    <mergeCell ref="DE8:DE9"/>
    <mergeCell ref="DI8:DI9"/>
    <mergeCell ref="DD8:DD9"/>
    <mergeCell ref="DJ8:DJ9"/>
    <mergeCell ref="DD10:DD11"/>
    <mergeCell ref="DE10:DE11"/>
    <mergeCell ref="DI10:DI11"/>
    <mergeCell ref="DJ10:DJ11"/>
    <mergeCell ref="DD12:DD13"/>
    <mergeCell ref="DE12:DE13"/>
    <mergeCell ref="CU104:CU105"/>
    <mergeCell ref="CV104:CV105"/>
    <mergeCell ref="CU108:CU109"/>
    <mergeCell ref="CV108:CV109"/>
    <mergeCell ref="CU110:CU111"/>
    <mergeCell ref="CV110:CV111"/>
    <mergeCell ref="CU80:CU81"/>
    <mergeCell ref="CV80:CV81"/>
    <mergeCell ref="CU86:CU87"/>
    <mergeCell ref="CV86:CV87"/>
    <mergeCell ref="CU88:CU89"/>
    <mergeCell ref="CV88:CV89"/>
    <mergeCell ref="CU90:CU91"/>
    <mergeCell ref="CV90:CV91"/>
    <mergeCell ref="CU94:CU95"/>
    <mergeCell ref="CV94:CV95"/>
    <mergeCell ref="CU96:CU97"/>
    <mergeCell ref="CV96:CV97"/>
  </mergeCells>
  <pageMargins left="0.3" right="0.1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85A2-3D31-4CC9-B03C-61698C0D73D1}">
  <dimension ref="A1:R87"/>
  <sheetViews>
    <sheetView zoomScaleNormal="100" workbookViewId="0">
      <pane xSplit="2" ySplit="1" topLeftCell="C50" activePane="bottomRight" state="frozen"/>
      <selection pane="topRight" activeCell="C1" sqref="C1"/>
      <selection pane="bottomLeft" activeCell="A6" sqref="A6"/>
      <selection pane="bottomRight" activeCell="C52" sqref="C52"/>
    </sheetView>
  </sheetViews>
  <sheetFormatPr baseColWidth="10" defaultRowHeight="15" x14ac:dyDescent="0.25"/>
  <cols>
    <col min="1" max="1" width="21.85546875" style="92" customWidth="1"/>
    <col min="2" max="2" width="34.5703125" style="92" customWidth="1"/>
    <col min="3" max="16" width="11.42578125" style="92" customWidth="1"/>
    <col min="17" max="16384" width="11.42578125" style="92"/>
  </cols>
  <sheetData>
    <row r="1" spans="1:18" ht="30" x14ac:dyDescent="0.25">
      <c r="A1" s="291" t="s">
        <v>0</v>
      </c>
      <c r="B1" s="291"/>
      <c r="C1" s="117">
        <v>43831</v>
      </c>
      <c r="D1" s="117" t="s">
        <v>482</v>
      </c>
      <c r="E1" s="117">
        <v>43862</v>
      </c>
      <c r="F1" s="117" t="s">
        <v>483</v>
      </c>
      <c r="G1" s="117">
        <v>43891</v>
      </c>
      <c r="H1" s="117" t="s">
        <v>484</v>
      </c>
      <c r="I1" s="117">
        <v>43922</v>
      </c>
      <c r="J1" s="117" t="s">
        <v>498</v>
      </c>
      <c r="K1" s="117">
        <v>43952</v>
      </c>
      <c r="L1" s="117" t="s">
        <v>497</v>
      </c>
      <c r="M1" s="117">
        <v>43983</v>
      </c>
      <c r="N1" s="117" t="s">
        <v>496</v>
      </c>
      <c r="O1" s="117">
        <v>44013</v>
      </c>
      <c r="P1" s="117" t="s">
        <v>499</v>
      </c>
      <c r="Q1" s="117">
        <v>44044</v>
      </c>
      <c r="R1" s="117" t="s">
        <v>501</v>
      </c>
    </row>
    <row r="2" spans="1:18" x14ac:dyDescent="0.25">
      <c r="A2" s="290" t="s">
        <v>10</v>
      </c>
      <c r="B2" s="118" t="s">
        <v>11</v>
      </c>
      <c r="C2" s="128">
        <f>[1]detallado!B659</f>
        <v>85</v>
      </c>
      <c r="D2" s="278">
        <f>(C2/C3)</f>
        <v>0.83333333333333337</v>
      </c>
      <c r="E2" s="128">
        <v>80</v>
      </c>
      <c r="F2" s="278">
        <f>(E2/E3)</f>
        <v>0.81632653061224492</v>
      </c>
      <c r="G2" s="128">
        <v>82</v>
      </c>
      <c r="H2" s="278">
        <f>(G2/G3)</f>
        <v>0.85416666666666663</v>
      </c>
      <c r="I2" s="128">
        <v>69</v>
      </c>
      <c r="J2" s="278">
        <f>(I2/I3)</f>
        <v>0.78409090909090906</v>
      </c>
      <c r="K2" s="128">
        <v>53</v>
      </c>
      <c r="L2" s="278">
        <f>(K2/K3)</f>
        <v>0.79104477611940294</v>
      </c>
      <c r="M2" s="124">
        <v>59</v>
      </c>
      <c r="N2" s="274">
        <f>(M2/M3)</f>
        <v>0.76623376623376627</v>
      </c>
      <c r="O2" s="133">
        <v>61</v>
      </c>
      <c r="P2" s="274">
        <f>(O2/O3)</f>
        <v>0.71764705882352942</v>
      </c>
      <c r="Q2" s="141">
        <v>69</v>
      </c>
      <c r="R2" s="274">
        <f>(Q2/Q3)</f>
        <v>0.69696969696969702</v>
      </c>
    </row>
    <row r="3" spans="1:18" x14ac:dyDescent="0.25">
      <c r="A3" s="290"/>
      <c r="B3" s="118" t="s">
        <v>12</v>
      </c>
      <c r="C3" s="128">
        <f>[1]detallado!B658</f>
        <v>102</v>
      </c>
      <c r="D3" s="279"/>
      <c r="E3" s="128">
        <v>98</v>
      </c>
      <c r="F3" s="279"/>
      <c r="G3" s="128">
        <v>96</v>
      </c>
      <c r="H3" s="279"/>
      <c r="I3" s="128">
        <v>88</v>
      </c>
      <c r="J3" s="279"/>
      <c r="K3" s="128">
        <v>67</v>
      </c>
      <c r="L3" s="279"/>
      <c r="M3" s="124">
        <v>77</v>
      </c>
      <c r="N3" s="274"/>
      <c r="O3" s="133">
        <v>85</v>
      </c>
      <c r="P3" s="274"/>
      <c r="Q3" s="141">
        <v>99</v>
      </c>
      <c r="R3" s="274"/>
    </row>
    <row r="4" spans="1:18" ht="51.75" customHeight="1" x14ac:dyDescent="0.25">
      <c r="A4" s="290" t="s">
        <v>13</v>
      </c>
      <c r="B4" s="118" t="s">
        <v>14</v>
      </c>
      <c r="C4" s="128">
        <f>[1]detallado!B660</f>
        <v>5</v>
      </c>
      <c r="D4" s="280">
        <f>(C4/C5)*1000</f>
        <v>46.728971962616818</v>
      </c>
      <c r="E4" s="128">
        <v>2</v>
      </c>
      <c r="F4" s="280">
        <f>(E4/E5)*1000</f>
        <v>20</v>
      </c>
      <c r="G4" s="128">
        <v>1</v>
      </c>
      <c r="H4" s="280">
        <f>(G4/G5)*1000</f>
        <v>10.309278350515465</v>
      </c>
      <c r="I4" s="128">
        <v>2</v>
      </c>
      <c r="J4" s="280">
        <f>(I4/I5)*1000</f>
        <v>22.222222222222221</v>
      </c>
      <c r="K4" s="128">
        <v>2</v>
      </c>
      <c r="L4" s="280">
        <f>(K4/K5)*1000</f>
        <v>28.985507246376812</v>
      </c>
      <c r="M4" s="124">
        <v>1</v>
      </c>
      <c r="N4" s="273">
        <f>(M4/M5)*1000</f>
        <v>12.820512820512819</v>
      </c>
      <c r="O4" s="133">
        <v>0</v>
      </c>
      <c r="P4" s="273">
        <f>(O4/O5)*1000</f>
        <v>0</v>
      </c>
      <c r="Q4" s="141">
        <v>2</v>
      </c>
      <c r="R4" s="273">
        <f>(Q4/Q5)*1000</f>
        <v>19.801980198019802</v>
      </c>
    </row>
    <row r="5" spans="1:18" ht="45" x14ac:dyDescent="0.25">
      <c r="A5" s="290"/>
      <c r="B5" s="118" t="s">
        <v>15</v>
      </c>
      <c r="C5" s="128">
        <f>[1]detallado!B658+[1]detallado!B660</f>
        <v>107</v>
      </c>
      <c r="D5" s="281"/>
      <c r="E5" s="128">
        <v>100</v>
      </c>
      <c r="F5" s="281"/>
      <c r="G5" s="128">
        <v>97</v>
      </c>
      <c r="H5" s="281"/>
      <c r="I5" s="128">
        <f>+I3+I4</f>
        <v>90</v>
      </c>
      <c r="J5" s="281"/>
      <c r="K5" s="128">
        <v>69</v>
      </c>
      <c r="L5" s="281"/>
      <c r="M5" s="124">
        <v>78</v>
      </c>
      <c r="N5" s="273"/>
      <c r="O5" s="133">
        <v>85</v>
      </c>
      <c r="P5" s="273"/>
      <c r="Q5" s="141">
        <v>101</v>
      </c>
      <c r="R5" s="273"/>
    </row>
    <row r="6" spans="1:18" ht="19.5" customHeight="1" x14ac:dyDescent="0.25">
      <c r="A6" s="290" t="s">
        <v>16</v>
      </c>
      <c r="B6" s="118" t="s">
        <v>17</v>
      </c>
      <c r="C6" s="128">
        <f>[1]detallado!B663</f>
        <v>9</v>
      </c>
      <c r="D6" s="282">
        <v>0</v>
      </c>
      <c r="E6" s="128">
        <v>8</v>
      </c>
      <c r="F6" s="282">
        <v>0</v>
      </c>
      <c r="G6" s="128">
        <v>6</v>
      </c>
      <c r="H6" s="282">
        <v>0</v>
      </c>
      <c r="I6" s="128">
        <v>1</v>
      </c>
      <c r="J6" s="282">
        <f>+I6/I7</f>
        <v>1</v>
      </c>
      <c r="K6" s="128">
        <v>4</v>
      </c>
      <c r="L6" s="282">
        <v>0</v>
      </c>
      <c r="M6" s="129">
        <v>1</v>
      </c>
      <c r="N6" s="276">
        <v>0</v>
      </c>
      <c r="O6" s="129">
        <v>8</v>
      </c>
      <c r="P6" s="276">
        <f>O6/O7</f>
        <v>4</v>
      </c>
      <c r="Q6" s="129">
        <v>4</v>
      </c>
      <c r="R6" s="276">
        <v>0</v>
      </c>
    </row>
    <row r="7" spans="1:18" ht="36.75" customHeight="1" x14ac:dyDescent="0.25">
      <c r="A7" s="290"/>
      <c r="B7" s="118" t="s">
        <v>18</v>
      </c>
      <c r="C7" s="128">
        <f>[1]detallado!B664</f>
        <v>0</v>
      </c>
      <c r="D7" s="283"/>
      <c r="E7" s="128">
        <v>0</v>
      </c>
      <c r="F7" s="283"/>
      <c r="G7" s="128">
        <v>0</v>
      </c>
      <c r="H7" s="283"/>
      <c r="I7" s="128">
        <v>1</v>
      </c>
      <c r="J7" s="283"/>
      <c r="K7" s="128">
        <v>0</v>
      </c>
      <c r="L7" s="283"/>
      <c r="M7" s="129">
        <v>0</v>
      </c>
      <c r="N7" s="276"/>
      <c r="O7" s="129">
        <v>2</v>
      </c>
      <c r="P7" s="276"/>
      <c r="Q7" s="129">
        <v>0</v>
      </c>
      <c r="R7" s="276"/>
    </row>
    <row r="8" spans="1:18" ht="27" customHeight="1" x14ac:dyDescent="0.25">
      <c r="A8" s="290" t="s">
        <v>19</v>
      </c>
      <c r="B8" s="118" t="s">
        <v>20</v>
      </c>
      <c r="C8" s="128">
        <f>[1]detallado!B665</f>
        <v>102</v>
      </c>
      <c r="D8" s="284">
        <f>(C8/C9)</f>
        <v>1</v>
      </c>
      <c r="E8" s="128">
        <v>98</v>
      </c>
      <c r="F8" s="284">
        <f>(E8/E9)</f>
        <v>1</v>
      </c>
      <c r="G8" s="128">
        <v>96</v>
      </c>
      <c r="H8" s="284">
        <f>(G8/G9)</f>
        <v>1</v>
      </c>
      <c r="I8" s="128">
        <v>88</v>
      </c>
      <c r="J8" s="284">
        <f>(I8/I9)</f>
        <v>1</v>
      </c>
      <c r="K8" s="128">
        <v>67</v>
      </c>
      <c r="L8" s="284">
        <f>(K8/K9)</f>
        <v>1</v>
      </c>
      <c r="M8" s="124">
        <v>77</v>
      </c>
      <c r="N8" s="277">
        <f>(M8/M9)</f>
        <v>1</v>
      </c>
      <c r="O8" s="133">
        <v>85</v>
      </c>
      <c r="P8" s="277">
        <f>(O8/O9)</f>
        <v>1</v>
      </c>
      <c r="Q8" s="141">
        <v>99</v>
      </c>
      <c r="R8" s="277">
        <f>(Q8/Q9)</f>
        <v>1</v>
      </c>
    </row>
    <row r="9" spans="1:18" x14ac:dyDescent="0.25">
      <c r="A9" s="290"/>
      <c r="B9" s="118" t="s">
        <v>21</v>
      </c>
      <c r="C9" s="128">
        <f>[1]detallado!B658</f>
        <v>102</v>
      </c>
      <c r="D9" s="285"/>
      <c r="E9" s="128">
        <v>98</v>
      </c>
      <c r="F9" s="285"/>
      <c r="G9" s="128">
        <v>96</v>
      </c>
      <c r="H9" s="285"/>
      <c r="I9" s="128">
        <v>88</v>
      </c>
      <c r="J9" s="285"/>
      <c r="K9" s="128">
        <v>67</v>
      </c>
      <c r="L9" s="285"/>
      <c r="M9" s="124">
        <v>77</v>
      </c>
      <c r="N9" s="277"/>
      <c r="O9" s="133">
        <v>85</v>
      </c>
      <c r="P9" s="277"/>
      <c r="Q9" s="141">
        <v>99</v>
      </c>
      <c r="R9" s="277"/>
    </row>
    <row r="10" spans="1:18" ht="72" customHeight="1" x14ac:dyDescent="0.25">
      <c r="A10" s="290" t="s">
        <v>22</v>
      </c>
      <c r="B10" s="118" t="s">
        <v>23</v>
      </c>
      <c r="C10" s="127">
        <f>[1]detallado!B346</f>
        <v>0</v>
      </c>
      <c r="D10" s="278">
        <f>(C10/C11)</f>
        <v>0</v>
      </c>
      <c r="E10" s="127">
        <v>0</v>
      </c>
      <c r="F10" s="278">
        <f>(E10/E11)</f>
        <v>0</v>
      </c>
      <c r="G10" s="127">
        <v>0</v>
      </c>
      <c r="H10" s="278">
        <f>(G10/G11)</f>
        <v>0</v>
      </c>
      <c r="I10" s="127">
        <v>0</v>
      </c>
      <c r="J10" s="278">
        <f>(I10/I11)</f>
        <v>0</v>
      </c>
      <c r="K10" s="127">
        <v>0</v>
      </c>
      <c r="L10" s="278">
        <f>(K10/K11)</f>
        <v>0</v>
      </c>
      <c r="M10" s="123">
        <v>0</v>
      </c>
      <c r="N10" s="274">
        <v>0</v>
      </c>
      <c r="O10" s="132">
        <v>0</v>
      </c>
      <c r="P10" s="274">
        <v>0</v>
      </c>
      <c r="Q10" s="140">
        <v>0</v>
      </c>
      <c r="R10" s="274">
        <v>0</v>
      </c>
    </row>
    <row r="11" spans="1:18" ht="45" customHeight="1" x14ac:dyDescent="0.25">
      <c r="A11" s="290"/>
      <c r="B11" s="118" t="s">
        <v>24</v>
      </c>
      <c r="C11" s="127">
        <v>28</v>
      </c>
      <c r="D11" s="279"/>
      <c r="E11" s="127">
        <v>12</v>
      </c>
      <c r="F11" s="279"/>
      <c r="G11" s="127">
        <v>19</v>
      </c>
      <c r="H11" s="279"/>
      <c r="I11" s="127">
        <v>5</v>
      </c>
      <c r="J11" s="279"/>
      <c r="K11" s="127">
        <v>1</v>
      </c>
      <c r="L11" s="279"/>
      <c r="M11" s="123">
        <v>0</v>
      </c>
      <c r="N11" s="274"/>
      <c r="O11" s="132">
        <v>0</v>
      </c>
      <c r="P11" s="274"/>
      <c r="Q11" s="140">
        <v>2</v>
      </c>
      <c r="R11" s="274"/>
    </row>
    <row r="12" spans="1:18" ht="22.5" customHeight="1" x14ac:dyDescent="0.25">
      <c r="A12" s="290" t="s">
        <v>26</v>
      </c>
      <c r="B12" s="118" t="s">
        <v>27</v>
      </c>
      <c r="C12" s="127">
        <f>[1]detallado!B349</f>
        <v>0</v>
      </c>
      <c r="D12" s="282">
        <f t="shared" ref="D12" si="0">C12/C13</f>
        <v>0</v>
      </c>
      <c r="E12" s="127">
        <v>0</v>
      </c>
      <c r="F12" s="282">
        <f t="shared" ref="F12" si="1">E12/E13</f>
        <v>0</v>
      </c>
      <c r="G12" s="127">
        <v>0</v>
      </c>
      <c r="H12" s="282">
        <f t="shared" ref="H12" si="2">G12/G13</f>
        <v>0</v>
      </c>
      <c r="I12" s="127">
        <v>0</v>
      </c>
      <c r="J12" s="282">
        <f t="shared" ref="J12" si="3">I12/I13</f>
        <v>0</v>
      </c>
      <c r="K12" s="127">
        <v>0</v>
      </c>
      <c r="L12" s="282">
        <f t="shared" ref="L12" si="4">K12/K13</f>
        <v>0</v>
      </c>
      <c r="M12" s="123">
        <v>0</v>
      </c>
      <c r="N12" s="276">
        <v>0</v>
      </c>
      <c r="O12" s="132">
        <v>0</v>
      </c>
      <c r="P12" s="276">
        <v>0</v>
      </c>
      <c r="Q12" s="140">
        <v>0</v>
      </c>
      <c r="R12" s="276">
        <v>0</v>
      </c>
    </row>
    <row r="13" spans="1:18" ht="22.5" x14ac:dyDescent="0.25">
      <c r="A13" s="290"/>
      <c r="B13" s="118" t="s">
        <v>28</v>
      </c>
      <c r="C13" s="127">
        <v>35</v>
      </c>
      <c r="D13" s="283"/>
      <c r="E13" s="127">
        <v>18</v>
      </c>
      <c r="F13" s="283"/>
      <c r="G13" s="127">
        <v>31</v>
      </c>
      <c r="H13" s="283"/>
      <c r="I13" s="127">
        <v>5</v>
      </c>
      <c r="J13" s="283"/>
      <c r="K13" s="127">
        <v>2</v>
      </c>
      <c r="L13" s="283"/>
      <c r="M13" s="123">
        <v>0</v>
      </c>
      <c r="N13" s="276"/>
      <c r="O13" s="132">
        <v>1</v>
      </c>
      <c r="P13" s="276"/>
      <c r="Q13" s="140">
        <v>2</v>
      </c>
      <c r="R13" s="276"/>
    </row>
    <row r="14" spans="1:18" ht="22.5" customHeight="1" x14ac:dyDescent="0.25">
      <c r="A14" s="290" t="s">
        <v>30</v>
      </c>
      <c r="B14" s="118" t="s">
        <v>31</v>
      </c>
      <c r="C14" s="127">
        <f>[1]detallado!B352</f>
        <v>0</v>
      </c>
      <c r="D14" s="282">
        <f t="shared" ref="D14" si="5">C14/C15</f>
        <v>0</v>
      </c>
      <c r="E14" s="127">
        <v>0</v>
      </c>
      <c r="F14" s="282">
        <f t="shared" ref="F14" si="6">E14/E15</f>
        <v>0</v>
      </c>
      <c r="G14" s="127">
        <v>0</v>
      </c>
      <c r="H14" s="282">
        <f t="shared" ref="H14" si="7">G14/G15</f>
        <v>0</v>
      </c>
      <c r="I14" s="127">
        <v>0</v>
      </c>
      <c r="J14" s="282">
        <f t="shared" ref="J14" si="8">I14/I15</f>
        <v>0</v>
      </c>
      <c r="K14" s="127">
        <v>0</v>
      </c>
      <c r="L14" s="282">
        <f t="shared" ref="L14" si="9">K14/K15</f>
        <v>0</v>
      </c>
      <c r="M14" s="123">
        <v>0</v>
      </c>
      <c r="N14" s="276">
        <f t="shared" ref="N14" si="10">M14/M15</f>
        <v>0</v>
      </c>
      <c r="O14" s="132">
        <v>0</v>
      </c>
      <c r="P14" s="276">
        <v>0</v>
      </c>
      <c r="Q14" s="140">
        <v>0</v>
      </c>
      <c r="R14" s="276">
        <v>0</v>
      </c>
    </row>
    <row r="15" spans="1:18" ht="42" customHeight="1" x14ac:dyDescent="0.25">
      <c r="A15" s="290"/>
      <c r="B15" s="118" t="s">
        <v>32</v>
      </c>
      <c r="C15" s="127">
        <f>[1]detallado!B353</f>
        <v>8</v>
      </c>
      <c r="D15" s="283"/>
      <c r="E15" s="127">
        <v>7</v>
      </c>
      <c r="F15" s="283"/>
      <c r="G15" s="127">
        <v>2</v>
      </c>
      <c r="H15" s="283"/>
      <c r="I15" s="127">
        <v>1</v>
      </c>
      <c r="J15" s="283"/>
      <c r="K15" s="127">
        <v>2</v>
      </c>
      <c r="L15" s="283"/>
      <c r="M15" s="123">
        <v>3</v>
      </c>
      <c r="N15" s="276"/>
      <c r="O15" s="132">
        <v>0</v>
      </c>
      <c r="P15" s="276"/>
      <c r="Q15" s="140">
        <v>4</v>
      </c>
      <c r="R15" s="276"/>
    </row>
    <row r="16" spans="1:18" ht="32.25" customHeight="1" x14ac:dyDescent="0.25">
      <c r="A16" s="290" t="s">
        <v>33</v>
      </c>
      <c r="B16" s="118" t="s">
        <v>34</v>
      </c>
      <c r="C16" s="128">
        <v>219</v>
      </c>
      <c r="D16" s="284">
        <f t="shared" ref="D16" si="11">C16/C17</f>
        <v>1</v>
      </c>
      <c r="E16" s="128">
        <v>182</v>
      </c>
      <c r="F16" s="284">
        <f t="shared" ref="F16" si="12">E16/E17</f>
        <v>1</v>
      </c>
      <c r="G16" s="128">
        <v>207</v>
      </c>
      <c r="H16" s="284">
        <f t="shared" ref="H16" si="13">G16/G17</f>
        <v>1</v>
      </c>
      <c r="I16" s="128">
        <v>149</v>
      </c>
      <c r="J16" s="284">
        <f t="shared" ref="J16" si="14">I16/I17</f>
        <v>1</v>
      </c>
      <c r="K16" s="128">
        <v>155</v>
      </c>
      <c r="L16" s="284">
        <f t="shared" ref="L16" si="15">K16/K17</f>
        <v>1</v>
      </c>
      <c r="M16" s="124">
        <v>146</v>
      </c>
      <c r="N16" s="277">
        <f t="shared" ref="N16" si="16">M16/M17</f>
        <v>1</v>
      </c>
      <c r="O16" s="133">
        <v>126</v>
      </c>
      <c r="P16" s="277">
        <f t="shared" ref="P16" si="17">O16/O17</f>
        <v>1</v>
      </c>
      <c r="Q16" s="141">
        <v>190</v>
      </c>
      <c r="R16" s="277">
        <f t="shared" ref="R16" si="18">Q16/Q17</f>
        <v>1</v>
      </c>
    </row>
    <row r="17" spans="1:18" ht="32.25" customHeight="1" x14ac:dyDescent="0.25">
      <c r="A17" s="290"/>
      <c r="B17" s="118" t="s">
        <v>9</v>
      </c>
      <c r="C17" s="128">
        <v>219</v>
      </c>
      <c r="D17" s="285"/>
      <c r="E17" s="128">
        <v>182</v>
      </c>
      <c r="F17" s="285"/>
      <c r="G17" s="128">
        <v>207</v>
      </c>
      <c r="H17" s="285"/>
      <c r="I17" s="128">
        <v>149</v>
      </c>
      <c r="J17" s="285"/>
      <c r="K17" s="128">
        <v>155</v>
      </c>
      <c r="L17" s="285"/>
      <c r="M17" s="124">
        <v>146</v>
      </c>
      <c r="N17" s="277"/>
      <c r="O17" s="133">
        <v>126</v>
      </c>
      <c r="P17" s="277"/>
      <c r="Q17" s="141">
        <v>190</v>
      </c>
      <c r="R17" s="277"/>
    </row>
    <row r="18" spans="1:18" ht="33.75" x14ac:dyDescent="0.25">
      <c r="A18" s="290" t="s">
        <v>35</v>
      </c>
      <c r="B18" s="118" t="s">
        <v>36</v>
      </c>
      <c r="C18" s="128">
        <f>+[1]detallado!B667</f>
        <v>0</v>
      </c>
      <c r="D18" s="284">
        <v>0</v>
      </c>
      <c r="E18" s="128">
        <v>0</v>
      </c>
      <c r="F18" s="284">
        <v>0</v>
      </c>
      <c r="G18" s="128">
        <v>0</v>
      </c>
      <c r="H18" s="284">
        <v>0</v>
      </c>
      <c r="I18" s="128">
        <v>0</v>
      </c>
      <c r="J18" s="284">
        <v>0</v>
      </c>
      <c r="K18" s="128">
        <v>0</v>
      </c>
      <c r="L18" s="284">
        <v>0</v>
      </c>
      <c r="M18" s="124">
        <v>0</v>
      </c>
      <c r="N18" s="277">
        <v>0</v>
      </c>
      <c r="O18" s="133">
        <v>0</v>
      </c>
      <c r="P18" s="277">
        <v>0</v>
      </c>
      <c r="Q18" s="141">
        <v>0</v>
      </c>
      <c r="R18" s="277">
        <v>0</v>
      </c>
    </row>
    <row r="19" spans="1:18" ht="22.5" x14ac:dyDescent="0.25">
      <c r="A19" s="290"/>
      <c r="B19" s="118" t="s">
        <v>37</v>
      </c>
      <c r="C19" s="128">
        <f>[1]detallado!B668</f>
        <v>0</v>
      </c>
      <c r="D19" s="285"/>
      <c r="E19" s="128">
        <v>0</v>
      </c>
      <c r="F19" s="285"/>
      <c r="G19" s="128">
        <v>0</v>
      </c>
      <c r="H19" s="285"/>
      <c r="I19" s="128">
        <v>0</v>
      </c>
      <c r="J19" s="285"/>
      <c r="K19" s="128">
        <v>0</v>
      </c>
      <c r="L19" s="285"/>
      <c r="M19" s="124">
        <v>0</v>
      </c>
      <c r="N19" s="277"/>
      <c r="O19" s="133">
        <v>0</v>
      </c>
      <c r="P19" s="277"/>
      <c r="Q19" s="141">
        <v>0</v>
      </c>
      <c r="R19" s="277"/>
    </row>
    <row r="20" spans="1:18" ht="33.75" x14ac:dyDescent="0.25">
      <c r="A20" s="290" t="s">
        <v>38</v>
      </c>
      <c r="B20" s="118" t="s">
        <v>39</v>
      </c>
      <c r="C20" s="128">
        <f>[1]detallado!B666</f>
        <v>222</v>
      </c>
      <c r="D20" s="284">
        <f t="shared" ref="D20" si="19">C20/C21</f>
        <v>1</v>
      </c>
      <c r="E20" s="128">
        <v>182</v>
      </c>
      <c r="F20" s="284">
        <f t="shared" ref="F20" si="20">E20/E21</f>
        <v>1</v>
      </c>
      <c r="G20" s="128">
        <v>207</v>
      </c>
      <c r="H20" s="284">
        <f t="shared" ref="H20" si="21">G20/G21</f>
        <v>1</v>
      </c>
      <c r="I20" s="128">
        <v>149</v>
      </c>
      <c r="J20" s="284">
        <f t="shared" ref="J20" si="22">I20/I21</f>
        <v>1</v>
      </c>
      <c r="K20" s="128">
        <v>155</v>
      </c>
      <c r="L20" s="284">
        <f t="shared" ref="L20" si="23">K20/K21</f>
        <v>1</v>
      </c>
      <c r="M20" s="124">
        <v>146</v>
      </c>
      <c r="N20" s="277">
        <f t="shared" ref="N20" si="24">M20/M21</f>
        <v>1</v>
      </c>
      <c r="O20" s="133">
        <v>126</v>
      </c>
      <c r="P20" s="277">
        <f t="shared" ref="P20" si="25">O20/O21</f>
        <v>1</v>
      </c>
      <c r="Q20" s="141">
        <v>190</v>
      </c>
      <c r="R20" s="277">
        <f t="shared" ref="R20" si="26">Q20/Q21</f>
        <v>1</v>
      </c>
    </row>
    <row r="21" spans="1:18" ht="33.75" x14ac:dyDescent="0.25">
      <c r="A21" s="290"/>
      <c r="B21" s="118" t="s">
        <v>40</v>
      </c>
      <c r="C21" s="128">
        <f>[1]detallado!B666</f>
        <v>222</v>
      </c>
      <c r="D21" s="285"/>
      <c r="E21" s="128">
        <v>182</v>
      </c>
      <c r="F21" s="285"/>
      <c r="G21" s="128">
        <v>207</v>
      </c>
      <c r="H21" s="285"/>
      <c r="I21" s="128">
        <v>149</v>
      </c>
      <c r="J21" s="285"/>
      <c r="K21" s="128">
        <v>155</v>
      </c>
      <c r="L21" s="285"/>
      <c r="M21" s="124">
        <v>146</v>
      </c>
      <c r="N21" s="277"/>
      <c r="O21" s="133">
        <v>126</v>
      </c>
      <c r="P21" s="277"/>
      <c r="Q21" s="141">
        <v>190</v>
      </c>
      <c r="R21" s="277"/>
    </row>
    <row r="22" spans="1:18" ht="22.5" x14ac:dyDescent="0.25">
      <c r="A22" s="290" t="s">
        <v>42</v>
      </c>
      <c r="B22" s="118" t="s">
        <v>43</v>
      </c>
      <c r="C22" s="127">
        <f>[1]detallado!B337</f>
        <v>0</v>
      </c>
      <c r="D22" s="284">
        <v>0</v>
      </c>
      <c r="E22" s="127">
        <v>0</v>
      </c>
      <c r="F22" s="284">
        <v>0</v>
      </c>
      <c r="G22" s="127">
        <v>0</v>
      </c>
      <c r="H22" s="284">
        <v>0</v>
      </c>
      <c r="I22" s="127">
        <v>0</v>
      </c>
      <c r="J22" s="284">
        <v>0</v>
      </c>
      <c r="K22" s="127">
        <v>0</v>
      </c>
      <c r="L22" s="284">
        <v>0</v>
      </c>
      <c r="M22" s="123">
        <v>0</v>
      </c>
      <c r="N22" s="277">
        <v>0</v>
      </c>
      <c r="O22" s="132">
        <v>0</v>
      </c>
      <c r="P22" s="277">
        <v>0</v>
      </c>
      <c r="Q22" s="140">
        <v>1</v>
      </c>
      <c r="R22" s="277">
        <v>0</v>
      </c>
    </row>
    <row r="23" spans="1:18" ht="22.5" x14ac:dyDescent="0.25">
      <c r="A23" s="290"/>
      <c r="B23" s="118" t="s">
        <v>44</v>
      </c>
      <c r="C23" s="127">
        <f>[1]detallado!B338</f>
        <v>0</v>
      </c>
      <c r="D23" s="285"/>
      <c r="E23" s="127">
        <v>0</v>
      </c>
      <c r="F23" s="285"/>
      <c r="G23" s="127">
        <v>0</v>
      </c>
      <c r="H23" s="285"/>
      <c r="I23" s="127">
        <v>0</v>
      </c>
      <c r="J23" s="285"/>
      <c r="K23" s="127">
        <v>0</v>
      </c>
      <c r="L23" s="285"/>
      <c r="M23" s="123">
        <v>0</v>
      </c>
      <c r="N23" s="277"/>
      <c r="O23" s="132">
        <v>0</v>
      </c>
      <c r="P23" s="277"/>
      <c r="Q23" s="140">
        <v>1</v>
      </c>
      <c r="R23" s="277"/>
    </row>
    <row r="24" spans="1:18" ht="50.25" customHeight="1" x14ac:dyDescent="0.25">
      <c r="A24" s="290" t="s">
        <v>55</v>
      </c>
      <c r="B24" s="118" t="s">
        <v>56</v>
      </c>
      <c r="C24" s="127">
        <f>[1]detallado!B340</f>
        <v>21</v>
      </c>
      <c r="D24" s="278">
        <f t="shared" ref="D24" si="27">C24/C25</f>
        <v>0.14285714285714285</v>
      </c>
      <c r="E24" s="127">
        <v>15</v>
      </c>
      <c r="F24" s="278">
        <f t="shared" ref="F24" si="28">E24/E25</f>
        <v>0.12</v>
      </c>
      <c r="G24" s="127">
        <v>9</v>
      </c>
      <c r="H24" s="278">
        <f t="shared" ref="H24" si="29">G24/G25</f>
        <v>7.1428571428571425E-2</v>
      </c>
      <c r="I24" s="127">
        <v>4</v>
      </c>
      <c r="J24" s="278">
        <f t="shared" ref="J24" si="30">I24/I25</f>
        <v>0.2857142857142857</v>
      </c>
      <c r="K24" s="127">
        <v>1</v>
      </c>
      <c r="L24" s="278">
        <f t="shared" ref="L24" si="31">K24/K25</f>
        <v>4.1666666666666664E-2</v>
      </c>
      <c r="M24" s="123">
        <v>12</v>
      </c>
      <c r="N24" s="274">
        <f t="shared" ref="N24" si="32">M24/M25</f>
        <v>0.14814814814814814</v>
      </c>
      <c r="O24" s="132">
        <v>12</v>
      </c>
      <c r="P24" s="274">
        <f t="shared" ref="P24" si="33">O24/O25</f>
        <v>0.14285714285714285</v>
      </c>
      <c r="Q24" s="140">
        <v>8</v>
      </c>
      <c r="R24" s="274">
        <f t="shared" ref="R24" si="34">Q24/Q25</f>
        <v>9.3023255813953487E-2</v>
      </c>
    </row>
    <row r="25" spans="1:18" ht="50.25" customHeight="1" x14ac:dyDescent="0.25">
      <c r="A25" s="290"/>
      <c r="B25" s="118" t="s">
        <v>57</v>
      </c>
      <c r="C25" s="127">
        <f>[1]detallado!B341</f>
        <v>147</v>
      </c>
      <c r="D25" s="279"/>
      <c r="E25" s="127">
        <v>125</v>
      </c>
      <c r="F25" s="279"/>
      <c r="G25" s="127">
        <v>126</v>
      </c>
      <c r="H25" s="279"/>
      <c r="I25" s="127">
        <v>14</v>
      </c>
      <c r="J25" s="279"/>
      <c r="K25" s="127">
        <v>24</v>
      </c>
      <c r="L25" s="279"/>
      <c r="M25" s="123">
        <v>81</v>
      </c>
      <c r="N25" s="274"/>
      <c r="O25" s="132">
        <v>84</v>
      </c>
      <c r="P25" s="274"/>
      <c r="Q25" s="140">
        <v>86</v>
      </c>
      <c r="R25" s="274"/>
    </row>
    <row r="26" spans="1:18" ht="39.75" customHeight="1" x14ac:dyDescent="0.25">
      <c r="A26" s="290" t="s">
        <v>58</v>
      </c>
      <c r="B26" s="118" t="s">
        <v>59</v>
      </c>
      <c r="C26" s="127">
        <f>[1]detallado!B343</f>
        <v>12</v>
      </c>
      <c r="D26" s="278">
        <f t="shared" ref="D26" si="35">C26/C27</f>
        <v>0.16438356164383561</v>
      </c>
      <c r="E26" s="127">
        <v>6</v>
      </c>
      <c r="F26" s="278">
        <f t="shared" ref="F26" si="36">E26/E27</f>
        <v>0.13043478260869565</v>
      </c>
      <c r="G26" s="127">
        <v>5</v>
      </c>
      <c r="H26" s="278">
        <f t="shared" ref="H26" si="37">G26/G27</f>
        <v>8.4745762711864403E-2</v>
      </c>
      <c r="I26" s="127">
        <v>9</v>
      </c>
      <c r="J26" s="278">
        <f t="shared" ref="J26" si="38">I26/I27</f>
        <v>0.36</v>
      </c>
      <c r="K26" s="127">
        <v>5</v>
      </c>
      <c r="L26" s="278">
        <f t="shared" ref="L26" si="39">K26/K27</f>
        <v>0.16129032258064516</v>
      </c>
      <c r="M26" s="123">
        <v>7</v>
      </c>
      <c r="N26" s="274">
        <f t="shared" ref="N26" si="40">M26/M27</f>
        <v>0.14893617021276595</v>
      </c>
      <c r="O26" s="132">
        <v>6</v>
      </c>
      <c r="P26" s="274">
        <f t="shared" ref="P26" si="41">O26/O27</f>
        <v>8.9552238805970144E-2</v>
      </c>
      <c r="Q26" s="140">
        <v>9</v>
      </c>
      <c r="R26" s="274">
        <f t="shared" ref="R26" si="42">Q26/Q27</f>
        <v>0.15254237288135594</v>
      </c>
    </row>
    <row r="27" spans="1:18" ht="39.75" customHeight="1" x14ac:dyDescent="0.25">
      <c r="A27" s="290"/>
      <c r="B27" s="118" t="s">
        <v>60</v>
      </c>
      <c r="C27" s="127">
        <f>[1]detallado!B344</f>
        <v>73</v>
      </c>
      <c r="D27" s="279"/>
      <c r="E27" s="127">
        <v>46</v>
      </c>
      <c r="F27" s="279"/>
      <c r="G27" s="127">
        <v>59</v>
      </c>
      <c r="H27" s="279"/>
      <c r="I27" s="127">
        <v>25</v>
      </c>
      <c r="J27" s="279"/>
      <c r="K27" s="127">
        <v>31</v>
      </c>
      <c r="L27" s="279"/>
      <c r="M27" s="123">
        <v>47</v>
      </c>
      <c r="N27" s="274"/>
      <c r="O27" s="132">
        <v>67</v>
      </c>
      <c r="P27" s="274"/>
      <c r="Q27" s="140">
        <v>59</v>
      </c>
      <c r="R27" s="274"/>
    </row>
    <row r="28" spans="1:18" ht="33.75" x14ac:dyDescent="0.25">
      <c r="A28" s="290" t="s">
        <v>82</v>
      </c>
      <c r="B28" s="118" t="s">
        <v>83</v>
      </c>
      <c r="C28" s="128">
        <v>4</v>
      </c>
      <c r="D28" s="280">
        <f>(C28/C29)*1000</f>
        <v>35.087719298245609</v>
      </c>
      <c r="E28" s="128">
        <v>4</v>
      </c>
      <c r="F28" s="280">
        <f>(E28/E29)*1000</f>
        <v>95.238095238095227</v>
      </c>
      <c r="G28" s="128">
        <v>4</v>
      </c>
      <c r="H28" s="280">
        <f>(G28/G29)*1000</f>
        <v>36.697247706422019</v>
      </c>
      <c r="I28" s="128">
        <v>6</v>
      </c>
      <c r="J28" s="280">
        <f>(I28/I29)*1000</f>
        <v>117.64705882352941</v>
      </c>
      <c r="K28" s="128">
        <v>0</v>
      </c>
      <c r="L28" s="280">
        <f>(K28/K29)*1000</f>
        <v>0</v>
      </c>
      <c r="M28" s="129">
        <v>1</v>
      </c>
      <c r="N28" s="273">
        <f>(M28/M29)*1000</f>
        <v>43.478260869565219</v>
      </c>
      <c r="O28" s="129">
        <v>4</v>
      </c>
      <c r="P28" s="273">
        <f>(O28/O29)*1000</f>
        <v>23.52941176470588</v>
      </c>
      <c r="Q28" s="129">
        <v>5</v>
      </c>
      <c r="R28" s="273">
        <f>(Q28/Q29)*1000</f>
        <v>28.089887640449437</v>
      </c>
    </row>
    <row r="29" spans="1:18" ht="33.75" customHeight="1" x14ac:dyDescent="0.25">
      <c r="A29" s="290"/>
      <c r="B29" s="118" t="s">
        <v>84</v>
      </c>
      <c r="C29" s="127">
        <f>[1]detallado!B356</f>
        <v>114</v>
      </c>
      <c r="D29" s="281"/>
      <c r="E29" s="127">
        <v>42</v>
      </c>
      <c r="F29" s="281"/>
      <c r="G29" s="127">
        <v>109</v>
      </c>
      <c r="H29" s="281"/>
      <c r="I29" s="127">
        <v>51</v>
      </c>
      <c r="J29" s="281"/>
      <c r="K29" s="127">
        <v>44</v>
      </c>
      <c r="L29" s="281"/>
      <c r="M29" s="130">
        <v>23</v>
      </c>
      <c r="N29" s="273"/>
      <c r="O29" s="130">
        <v>170</v>
      </c>
      <c r="P29" s="273"/>
      <c r="Q29" s="130">
        <v>178</v>
      </c>
      <c r="R29" s="273"/>
    </row>
    <row r="30" spans="1:18" ht="44.25" customHeight="1" x14ac:dyDescent="0.25">
      <c r="A30" s="290" t="s">
        <v>85</v>
      </c>
      <c r="B30" s="118" t="s">
        <v>86</v>
      </c>
      <c r="C30" s="128">
        <v>4</v>
      </c>
      <c r="D30" s="280">
        <f>(C30/C31)*1000</f>
        <v>50</v>
      </c>
      <c r="E30" s="128">
        <v>0</v>
      </c>
      <c r="F30" s="280">
        <f>(E30/E31)*1000</f>
        <v>0</v>
      </c>
      <c r="G30" s="128">
        <v>2</v>
      </c>
      <c r="H30" s="280">
        <f>(G30/G31)*1000</f>
        <v>21.276595744680851</v>
      </c>
      <c r="I30" s="128">
        <v>1</v>
      </c>
      <c r="J30" s="280">
        <f>(I30/I31)*1000</f>
        <v>7.4626865671641793</v>
      </c>
      <c r="K30" s="127">
        <v>3</v>
      </c>
      <c r="L30" s="280">
        <f>(K30/K31)*1000</f>
        <v>37.974683544303801</v>
      </c>
      <c r="M30" s="130">
        <v>0</v>
      </c>
      <c r="N30" s="273">
        <f>(M30/M31)*1000</f>
        <v>0</v>
      </c>
      <c r="O30" s="130">
        <v>1</v>
      </c>
      <c r="P30" s="273">
        <f>(O30/O31)*1000</f>
        <v>6.25</v>
      </c>
      <c r="Q30" s="130">
        <v>4</v>
      </c>
      <c r="R30" s="273">
        <f>(Q30/Q31)*1000</f>
        <v>16.666666666666668</v>
      </c>
    </row>
    <row r="31" spans="1:18" ht="32.25" customHeight="1" x14ac:dyDescent="0.25">
      <c r="A31" s="290"/>
      <c r="B31" s="118" t="s">
        <v>87</v>
      </c>
      <c r="C31" s="127">
        <f>[1]detallado!B359</f>
        <v>80</v>
      </c>
      <c r="D31" s="281"/>
      <c r="E31" s="127">
        <v>79</v>
      </c>
      <c r="F31" s="281"/>
      <c r="G31" s="127">
        <v>94</v>
      </c>
      <c r="H31" s="281"/>
      <c r="I31" s="127">
        <v>134</v>
      </c>
      <c r="J31" s="281"/>
      <c r="K31" s="127">
        <v>79</v>
      </c>
      <c r="L31" s="281"/>
      <c r="M31" s="130">
        <v>91</v>
      </c>
      <c r="N31" s="273"/>
      <c r="O31" s="130">
        <v>160</v>
      </c>
      <c r="P31" s="273"/>
      <c r="Q31" s="130">
        <v>240</v>
      </c>
      <c r="R31" s="273"/>
    </row>
    <row r="32" spans="1:18" ht="33.75" x14ac:dyDescent="0.25">
      <c r="A32" s="290" t="s">
        <v>88</v>
      </c>
      <c r="B32" s="121" t="s">
        <v>89</v>
      </c>
      <c r="C32" s="128">
        <v>1</v>
      </c>
      <c r="D32" s="280">
        <f>(C32/C33)*1000</f>
        <v>5.2910052910052912</v>
      </c>
      <c r="E32" s="128">
        <v>1</v>
      </c>
      <c r="F32" s="280">
        <f>(E32/E33)*1000</f>
        <v>22.222222222222221</v>
      </c>
      <c r="G32" s="128">
        <v>3</v>
      </c>
      <c r="H32" s="280">
        <f>(G32/G33)*1000</f>
        <v>25.210084033613445</v>
      </c>
      <c r="I32" s="128">
        <v>4</v>
      </c>
      <c r="J32" s="280">
        <f>(I32/I33)*1000</f>
        <v>55.55555555555555</v>
      </c>
      <c r="K32" s="127">
        <v>2</v>
      </c>
      <c r="L32" s="280">
        <f>(K32/K33)*1000</f>
        <v>37.735849056603769</v>
      </c>
      <c r="M32" s="130">
        <v>2</v>
      </c>
      <c r="N32" s="273">
        <f>(M32/M33)*1000</f>
        <v>117.64705882352941</v>
      </c>
      <c r="O32" s="130">
        <v>3</v>
      </c>
      <c r="P32" s="273">
        <f>(O32/O33)*1000</f>
        <v>53.571428571428569</v>
      </c>
      <c r="Q32" s="130">
        <v>10</v>
      </c>
      <c r="R32" s="273">
        <f>(Q32/Q33)*1000</f>
        <v>43.668122270742359</v>
      </c>
    </row>
    <row r="33" spans="1:18" ht="33.75" x14ac:dyDescent="0.25">
      <c r="A33" s="290"/>
      <c r="B33" s="121" t="s">
        <v>90</v>
      </c>
      <c r="C33" s="127">
        <f>[1]detallado!B362</f>
        <v>189</v>
      </c>
      <c r="D33" s="281"/>
      <c r="E33" s="127">
        <v>45</v>
      </c>
      <c r="F33" s="281"/>
      <c r="G33" s="127">
        <v>119</v>
      </c>
      <c r="H33" s="281"/>
      <c r="I33" s="127">
        <v>72</v>
      </c>
      <c r="J33" s="281"/>
      <c r="K33" s="127">
        <v>53</v>
      </c>
      <c r="L33" s="281"/>
      <c r="M33" s="130">
        <v>17</v>
      </c>
      <c r="N33" s="273"/>
      <c r="O33" s="130">
        <v>56</v>
      </c>
      <c r="P33" s="273"/>
      <c r="Q33" s="130">
        <v>229</v>
      </c>
      <c r="R33" s="273"/>
    </row>
    <row r="34" spans="1:18" x14ac:dyDescent="0.25">
      <c r="A34" s="290" t="s">
        <v>91</v>
      </c>
      <c r="B34" s="121" t="s">
        <v>92</v>
      </c>
      <c r="C34" s="128">
        <v>0</v>
      </c>
      <c r="D34" s="284">
        <f t="shared" ref="D34" si="43">C34/C35</f>
        <v>0</v>
      </c>
      <c r="E34" s="128">
        <v>0</v>
      </c>
      <c r="F34" s="284">
        <f t="shared" ref="F34" si="44">E34/E35</f>
        <v>0</v>
      </c>
      <c r="G34" s="128">
        <v>0</v>
      </c>
      <c r="H34" s="284">
        <f t="shared" ref="H34" si="45">G34/G35</f>
        <v>0</v>
      </c>
      <c r="I34" s="128">
        <v>0</v>
      </c>
      <c r="J34" s="284">
        <f t="shared" ref="J34" si="46">I34/I35</f>
        <v>0</v>
      </c>
      <c r="K34" s="128">
        <v>0</v>
      </c>
      <c r="L34" s="284">
        <f t="shared" ref="L34" si="47">K34/K35</f>
        <v>0</v>
      </c>
      <c r="M34" s="124">
        <v>0</v>
      </c>
      <c r="N34" s="277">
        <f t="shared" ref="N34" si="48">M34/M35</f>
        <v>0</v>
      </c>
      <c r="O34" s="133">
        <v>0</v>
      </c>
      <c r="P34" s="277">
        <f t="shared" ref="P34" si="49">O34/O35</f>
        <v>0</v>
      </c>
      <c r="Q34" s="141">
        <v>0</v>
      </c>
      <c r="R34" s="277">
        <f t="shared" ref="R34" si="50">Q34/Q35</f>
        <v>0</v>
      </c>
    </row>
    <row r="35" spans="1:18" x14ac:dyDescent="0.25">
      <c r="A35" s="290"/>
      <c r="B35" s="121" t="s">
        <v>93</v>
      </c>
      <c r="C35" s="128">
        <f>C3</f>
        <v>102</v>
      </c>
      <c r="D35" s="285"/>
      <c r="E35" s="128">
        <f>E3</f>
        <v>98</v>
      </c>
      <c r="F35" s="285"/>
      <c r="G35" s="128">
        <f>G3</f>
        <v>96</v>
      </c>
      <c r="H35" s="285"/>
      <c r="I35" s="128">
        <v>88</v>
      </c>
      <c r="J35" s="285"/>
      <c r="K35" s="128">
        <v>67</v>
      </c>
      <c r="L35" s="285"/>
      <c r="M35" s="124">
        <v>77</v>
      </c>
      <c r="N35" s="277"/>
      <c r="O35" s="133">
        <v>85</v>
      </c>
      <c r="P35" s="277"/>
      <c r="Q35" s="141">
        <v>99</v>
      </c>
      <c r="R35" s="277"/>
    </row>
    <row r="36" spans="1:18" x14ac:dyDescent="0.25">
      <c r="A36" s="290" t="s">
        <v>94</v>
      </c>
      <c r="B36" s="121" t="s">
        <v>95</v>
      </c>
      <c r="C36" s="128">
        <v>0</v>
      </c>
      <c r="D36" s="284">
        <f t="shared" ref="D36" si="51">C36/C37</f>
        <v>0</v>
      </c>
      <c r="E36" s="128">
        <v>0</v>
      </c>
      <c r="F36" s="284">
        <f t="shared" ref="F36" si="52">E36/E37</f>
        <v>0</v>
      </c>
      <c r="G36" s="128">
        <v>0</v>
      </c>
      <c r="H36" s="284">
        <f t="shared" ref="H36" si="53">G36/G37</f>
        <v>0</v>
      </c>
      <c r="I36" s="128">
        <v>0</v>
      </c>
      <c r="J36" s="284">
        <f t="shared" ref="J36" si="54">I36/I37</f>
        <v>0</v>
      </c>
      <c r="K36" s="128">
        <v>0</v>
      </c>
      <c r="L36" s="284">
        <f t="shared" ref="L36" si="55">K36/K37</f>
        <v>0</v>
      </c>
      <c r="M36" s="124">
        <v>0</v>
      </c>
      <c r="N36" s="277">
        <f t="shared" ref="N36" si="56">M36/M37</f>
        <v>0</v>
      </c>
      <c r="O36" s="133">
        <v>0</v>
      </c>
      <c r="P36" s="277">
        <f t="shared" ref="P36" si="57">O36/O37</f>
        <v>0</v>
      </c>
      <c r="Q36" s="141">
        <v>0</v>
      </c>
      <c r="R36" s="277">
        <f t="shared" ref="R36" si="58">Q36/Q37</f>
        <v>0</v>
      </c>
    </row>
    <row r="37" spans="1:18" x14ac:dyDescent="0.25">
      <c r="A37" s="290"/>
      <c r="B37" s="121" t="s">
        <v>93</v>
      </c>
      <c r="C37" s="128">
        <f>C3</f>
        <v>102</v>
      </c>
      <c r="D37" s="285"/>
      <c r="E37" s="128">
        <f>E3</f>
        <v>98</v>
      </c>
      <c r="F37" s="285"/>
      <c r="G37" s="128">
        <f>G3</f>
        <v>96</v>
      </c>
      <c r="H37" s="285"/>
      <c r="I37" s="128">
        <v>88</v>
      </c>
      <c r="J37" s="285"/>
      <c r="K37" s="128">
        <v>67</v>
      </c>
      <c r="L37" s="285"/>
      <c r="M37" s="124">
        <v>77</v>
      </c>
      <c r="N37" s="277"/>
      <c r="O37" s="133">
        <v>85</v>
      </c>
      <c r="P37" s="277"/>
      <c r="Q37" s="141">
        <v>99</v>
      </c>
      <c r="R37" s="277"/>
    </row>
    <row r="38" spans="1:18" ht="34.5" customHeight="1" x14ac:dyDescent="0.25">
      <c r="A38" s="290" t="s">
        <v>96</v>
      </c>
      <c r="B38" s="121" t="s">
        <v>97</v>
      </c>
      <c r="C38" s="128">
        <v>3</v>
      </c>
      <c r="D38" s="280">
        <f>(C38/C39)*1000</f>
        <v>0.65445026178010479</v>
      </c>
      <c r="E38" s="128">
        <v>2</v>
      </c>
      <c r="F38" s="280">
        <f>(E38/E39)*1000</f>
        <v>0.62285892245406416</v>
      </c>
      <c r="G38" s="128">
        <v>1</v>
      </c>
      <c r="H38" s="280">
        <f>(G38/G39)*1000</f>
        <v>0.2550369803621525</v>
      </c>
      <c r="I38" s="128">
        <v>2</v>
      </c>
      <c r="J38" s="280">
        <f>(I38/I39)*1000</f>
        <v>0.73556454578889297</v>
      </c>
      <c r="K38" s="128">
        <v>4</v>
      </c>
      <c r="L38" s="280">
        <f>(K38/K39)*1000</f>
        <v>1.9175455417066154</v>
      </c>
      <c r="M38" s="129">
        <v>0</v>
      </c>
      <c r="N38" s="273">
        <f>(M38/M39)*1000</f>
        <v>0</v>
      </c>
      <c r="O38" s="129">
        <v>1</v>
      </c>
      <c r="P38" s="273">
        <f>(O38/O39)*1000</f>
        <v>0.47214353163361666</v>
      </c>
      <c r="Q38" s="129">
        <v>0</v>
      </c>
      <c r="R38" s="273">
        <f>(Q38/Q39)*1000</f>
        <v>0</v>
      </c>
    </row>
    <row r="39" spans="1:18" ht="33.75" x14ac:dyDescent="0.25">
      <c r="A39" s="290"/>
      <c r="B39" s="121" t="s">
        <v>98</v>
      </c>
      <c r="C39" s="127">
        <v>4584</v>
      </c>
      <c r="D39" s="281"/>
      <c r="E39" s="127">
        <v>3211</v>
      </c>
      <c r="F39" s="281"/>
      <c r="G39" s="127">
        <v>3921</v>
      </c>
      <c r="H39" s="281"/>
      <c r="I39" s="127">
        <v>2719</v>
      </c>
      <c r="J39" s="281"/>
      <c r="K39" s="127">
        <v>2086</v>
      </c>
      <c r="L39" s="281"/>
      <c r="M39" s="130">
        <v>2029</v>
      </c>
      <c r="N39" s="273"/>
      <c r="O39" s="130">
        <v>2118</v>
      </c>
      <c r="P39" s="273"/>
      <c r="Q39" s="130">
        <v>2607</v>
      </c>
      <c r="R39" s="273"/>
    </row>
    <row r="40" spans="1:18" ht="34.5" customHeight="1" x14ac:dyDescent="0.25">
      <c r="A40" s="290" t="s">
        <v>99</v>
      </c>
      <c r="B40" s="121" t="s">
        <v>100</v>
      </c>
      <c r="C40" s="128">
        <v>2</v>
      </c>
      <c r="D40" s="280">
        <f>(C40/C41)*1000</f>
        <v>1.5349194167306217</v>
      </c>
      <c r="E40" s="128">
        <v>2</v>
      </c>
      <c r="F40" s="280">
        <f>(E40/E41)*1000</f>
        <v>1.834862385321101</v>
      </c>
      <c r="G40" s="128">
        <v>0</v>
      </c>
      <c r="H40" s="280">
        <f>(G40/G41)*1000</f>
        <v>0</v>
      </c>
      <c r="I40" s="128">
        <v>0</v>
      </c>
      <c r="J40" s="280">
        <f>(I40/I41)*1000</f>
        <v>0</v>
      </c>
      <c r="K40" s="128">
        <v>0</v>
      </c>
      <c r="L40" s="280">
        <f>(K40/K41)*1000</f>
        <v>0</v>
      </c>
      <c r="M40" s="129">
        <v>0</v>
      </c>
      <c r="N40" s="273">
        <f>(M40/M41)*1000</f>
        <v>0</v>
      </c>
      <c r="O40" s="129">
        <v>2</v>
      </c>
      <c r="P40" s="273">
        <f>(O40/O41)*1000</f>
        <v>3.2679738562091503</v>
      </c>
      <c r="Q40" s="129">
        <v>0</v>
      </c>
      <c r="R40" s="273">
        <f>(Q40/Q41)*1000</f>
        <v>0</v>
      </c>
    </row>
    <row r="41" spans="1:18" ht="43.5" customHeight="1" x14ac:dyDescent="0.25">
      <c r="A41" s="290"/>
      <c r="B41" s="121" t="s">
        <v>101</v>
      </c>
      <c r="C41" s="128">
        <f>[1]detallado!B306-[1]detallado!B302</f>
        <v>1303</v>
      </c>
      <c r="D41" s="281"/>
      <c r="E41" s="128">
        <v>1090</v>
      </c>
      <c r="F41" s="281"/>
      <c r="G41" s="128">
        <v>1114</v>
      </c>
      <c r="H41" s="281"/>
      <c r="I41" s="128">
        <v>681</v>
      </c>
      <c r="J41" s="281"/>
      <c r="K41" s="128">
        <v>890</v>
      </c>
      <c r="L41" s="281"/>
      <c r="M41" s="129">
        <v>760</v>
      </c>
      <c r="N41" s="273"/>
      <c r="O41" s="129">
        <v>612</v>
      </c>
      <c r="P41" s="273"/>
      <c r="Q41" s="129">
        <v>751</v>
      </c>
      <c r="R41" s="273"/>
    </row>
    <row r="42" spans="1:18" ht="33.75" x14ac:dyDescent="0.25">
      <c r="A42" s="290" t="s">
        <v>102</v>
      </c>
      <c r="B42" s="121" t="s">
        <v>103</v>
      </c>
      <c r="C42" s="128">
        <v>0</v>
      </c>
      <c r="D42" s="282">
        <f>(C42/C43)*1000</f>
        <v>0</v>
      </c>
      <c r="E42" s="128">
        <f>[1]detallado!C3</f>
        <v>1</v>
      </c>
      <c r="F42" s="280">
        <f>(E42/E43)*1000</f>
        <v>0.32289312237649337</v>
      </c>
      <c r="G42" s="128">
        <v>1</v>
      </c>
      <c r="H42" s="280">
        <f>(G42/G43)*1000</f>
        <v>0.43994720633523982</v>
      </c>
      <c r="I42" s="128">
        <v>0</v>
      </c>
      <c r="J42" s="280">
        <v>0</v>
      </c>
      <c r="K42" s="128">
        <v>0</v>
      </c>
      <c r="L42" s="280">
        <v>0</v>
      </c>
      <c r="M42" s="129">
        <v>0</v>
      </c>
      <c r="N42" s="273">
        <v>0</v>
      </c>
      <c r="O42" s="129">
        <v>0</v>
      </c>
      <c r="P42" s="273">
        <v>0</v>
      </c>
      <c r="Q42" s="129">
        <v>0</v>
      </c>
      <c r="R42" s="273">
        <v>0</v>
      </c>
    </row>
    <row r="43" spans="1:18" ht="36" customHeight="1" x14ac:dyDescent="0.25">
      <c r="A43" s="290"/>
      <c r="B43" s="121" t="s">
        <v>104</v>
      </c>
      <c r="C43" s="128">
        <f>[1]detallado!B95</f>
        <v>2650</v>
      </c>
      <c r="D43" s="283"/>
      <c r="E43" s="128">
        <f>[1]detallado!C4</f>
        <v>3097</v>
      </c>
      <c r="F43" s="281"/>
      <c r="G43" s="128">
        <v>2273</v>
      </c>
      <c r="H43" s="281"/>
      <c r="I43" s="128">
        <v>0</v>
      </c>
      <c r="J43" s="281"/>
      <c r="K43" s="128">
        <v>101</v>
      </c>
      <c r="L43" s="281"/>
      <c r="M43" s="129">
        <v>452</v>
      </c>
      <c r="N43" s="273"/>
      <c r="O43" s="129">
        <v>186</v>
      </c>
      <c r="P43" s="273"/>
      <c r="Q43" s="129">
        <v>253</v>
      </c>
      <c r="R43" s="273"/>
    </row>
    <row r="44" spans="1:18" ht="45" x14ac:dyDescent="0.25">
      <c r="A44" s="290" t="s">
        <v>106</v>
      </c>
      <c r="B44" s="121" t="s">
        <v>500</v>
      </c>
      <c r="C44" s="128">
        <v>0</v>
      </c>
      <c r="D44" s="282">
        <f t="shared" ref="D44" si="59">C44/C45</f>
        <v>0</v>
      </c>
      <c r="E44" s="128">
        <v>0</v>
      </c>
      <c r="F44" s="282">
        <f t="shared" ref="F44" si="60">E44/E45</f>
        <v>0</v>
      </c>
      <c r="G44" s="128">
        <v>0</v>
      </c>
      <c r="H44" s="282">
        <f t="shared" ref="H44" si="61">G44/G45</f>
        <v>0</v>
      </c>
      <c r="I44" s="128">
        <v>0</v>
      </c>
      <c r="J44" s="282">
        <f t="shared" ref="J44" si="62">I44/I45</f>
        <v>0</v>
      </c>
      <c r="K44" s="128">
        <v>0</v>
      </c>
      <c r="L44" s="282">
        <f t="shared" ref="L44" si="63">K44/K45</f>
        <v>0</v>
      </c>
      <c r="M44" s="129">
        <v>0</v>
      </c>
      <c r="N44" s="276">
        <f t="shared" ref="N44" si="64">M44/M45</f>
        <v>0</v>
      </c>
      <c r="O44" s="129">
        <v>0</v>
      </c>
      <c r="P44" s="276">
        <f t="shared" ref="P44" si="65">O44/O45</f>
        <v>0</v>
      </c>
      <c r="Q44" s="129">
        <v>0</v>
      </c>
      <c r="R44" s="276">
        <f t="shared" ref="R44" si="66">Q44/Q45</f>
        <v>0</v>
      </c>
    </row>
    <row r="45" spans="1:18" ht="40.5" customHeight="1" x14ac:dyDescent="0.25">
      <c r="A45" s="290"/>
      <c r="B45" s="121" t="s">
        <v>108</v>
      </c>
      <c r="C45" s="128">
        <v>643</v>
      </c>
      <c r="D45" s="283"/>
      <c r="E45" s="128">
        <v>333</v>
      </c>
      <c r="F45" s="283"/>
      <c r="G45" s="128">
        <v>573</v>
      </c>
      <c r="H45" s="283"/>
      <c r="I45" s="128">
        <v>320</v>
      </c>
      <c r="J45" s="283"/>
      <c r="K45" s="128">
        <v>855</v>
      </c>
      <c r="L45" s="283"/>
      <c r="M45" s="129">
        <v>774</v>
      </c>
      <c r="N45" s="276"/>
      <c r="O45" s="129">
        <v>1329</v>
      </c>
      <c r="P45" s="276"/>
      <c r="Q45" s="129">
        <v>671</v>
      </c>
      <c r="R45" s="276"/>
    </row>
    <row r="46" spans="1:18" ht="42" customHeight="1" x14ac:dyDescent="0.25">
      <c r="A46" s="290" t="s">
        <v>109</v>
      </c>
      <c r="B46" s="121" t="s">
        <v>110</v>
      </c>
      <c r="C46" s="128">
        <v>3</v>
      </c>
      <c r="D46" s="278">
        <f t="shared" ref="D46" si="67">C46/C47</f>
        <v>3.4924330616996507E-3</v>
      </c>
      <c r="E46" s="128">
        <v>1</v>
      </c>
      <c r="F46" s="278">
        <f t="shared" ref="F46" si="68">E46/E47</f>
        <v>1.3458950201884253E-3</v>
      </c>
      <c r="G46" s="128">
        <v>3</v>
      </c>
      <c r="H46" s="278">
        <f t="shared" ref="H46" si="69">G46/G47</f>
        <v>4.0983606557377051E-3</v>
      </c>
      <c r="I46" s="128">
        <v>0</v>
      </c>
      <c r="J46" s="278">
        <f t="shared" ref="J46" si="70">I46/I47</f>
        <v>0</v>
      </c>
      <c r="K46" s="128">
        <v>0</v>
      </c>
      <c r="L46" s="278">
        <f t="shared" ref="L46" si="71">K46/K47</f>
        <v>0</v>
      </c>
      <c r="M46" s="129">
        <v>1</v>
      </c>
      <c r="N46" s="274">
        <f t="shared" ref="N46" si="72">M46/M47</f>
        <v>2.3866348448687352E-3</v>
      </c>
      <c r="O46" s="129">
        <v>0</v>
      </c>
      <c r="P46" s="274">
        <f t="shared" ref="P46" si="73">O46/O47</f>
        <v>0</v>
      </c>
      <c r="Q46" s="129">
        <v>0</v>
      </c>
      <c r="R46" s="274">
        <f t="shared" ref="R46" si="74">Q46/Q47</f>
        <v>0</v>
      </c>
    </row>
    <row r="47" spans="1:18" ht="33.75" customHeight="1" x14ac:dyDescent="0.25">
      <c r="A47" s="290"/>
      <c r="B47" s="121" t="s">
        <v>111</v>
      </c>
      <c r="C47" s="128">
        <f>[1]detallado!B497</f>
        <v>859</v>
      </c>
      <c r="D47" s="279"/>
      <c r="E47" s="128">
        <v>743</v>
      </c>
      <c r="F47" s="279"/>
      <c r="G47" s="128">
        <v>732</v>
      </c>
      <c r="H47" s="279"/>
      <c r="I47" s="128">
        <v>496</v>
      </c>
      <c r="J47" s="279"/>
      <c r="K47" s="128">
        <v>416</v>
      </c>
      <c r="L47" s="279"/>
      <c r="M47" s="129">
        <v>419</v>
      </c>
      <c r="N47" s="274"/>
      <c r="O47" s="129">
        <v>382</v>
      </c>
      <c r="P47" s="274"/>
      <c r="Q47" s="129">
        <v>483</v>
      </c>
      <c r="R47" s="274"/>
    </row>
    <row r="48" spans="1:18" ht="42.75" customHeight="1" x14ac:dyDescent="0.25">
      <c r="A48" s="290" t="s">
        <v>112</v>
      </c>
      <c r="B48" s="121" t="s">
        <v>113</v>
      </c>
      <c r="C48" s="128">
        <v>0</v>
      </c>
      <c r="D48" s="284">
        <f t="shared" ref="D48" si="75">C48/C49</f>
        <v>0</v>
      </c>
      <c r="E48" s="128">
        <v>0</v>
      </c>
      <c r="F48" s="284">
        <f t="shared" ref="F48" si="76">E48/E49</f>
        <v>0</v>
      </c>
      <c r="G48" s="128">
        <v>0</v>
      </c>
      <c r="H48" s="284">
        <f t="shared" ref="H48" si="77">G48/G49</f>
        <v>0</v>
      </c>
      <c r="I48" s="128">
        <v>0</v>
      </c>
      <c r="J48" s="284">
        <f t="shared" ref="J48" si="78">I48/I49</f>
        <v>0</v>
      </c>
      <c r="K48" s="128">
        <v>0</v>
      </c>
      <c r="L48" s="284">
        <f t="shared" ref="L48" si="79">K48/K49</f>
        <v>0</v>
      </c>
      <c r="M48" s="129">
        <v>1</v>
      </c>
      <c r="N48" s="277">
        <f t="shared" ref="N48" si="80">M48/M49</f>
        <v>1.3157894736842105E-3</v>
      </c>
      <c r="O48" s="129">
        <v>0</v>
      </c>
      <c r="P48" s="277">
        <f t="shared" ref="P48" si="81">O48/O49</f>
        <v>0</v>
      </c>
      <c r="Q48" s="129">
        <v>0</v>
      </c>
      <c r="R48" s="277">
        <f t="shared" ref="R48" si="82">Q48/Q49</f>
        <v>0</v>
      </c>
    </row>
    <row r="49" spans="1:18" ht="26.25" customHeight="1" x14ac:dyDescent="0.25">
      <c r="A49" s="290"/>
      <c r="B49" s="121" t="s">
        <v>114</v>
      </c>
      <c r="C49" s="128">
        <f>[1]detallado!B292-[1]detallado!B288</f>
        <v>1303</v>
      </c>
      <c r="D49" s="285"/>
      <c r="E49" s="128">
        <f>E41</f>
        <v>1090</v>
      </c>
      <c r="F49" s="285"/>
      <c r="G49" s="128">
        <f>G41</f>
        <v>1114</v>
      </c>
      <c r="H49" s="285"/>
      <c r="I49" s="128">
        <v>681</v>
      </c>
      <c r="J49" s="285"/>
      <c r="K49" s="128">
        <v>890</v>
      </c>
      <c r="L49" s="285"/>
      <c r="M49" s="124">
        <v>760</v>
      </c>
      <c r="N49" s="277"/>
      <c r="O49" s="133">
        <v>612</v>
      </c>
      <c r="P49" s="277"/>
      <c r="Q49" s="129">
        <v>751</v>
      </c>
      <c r="R49" s="277"/>
    </row>
    <row r="50" spans="1:18" ht="27" customHeight="1" x14ac:dyDescent="0.25">
      <c r="A50" s="290" t="s">
        <v>115</v>
      </c>
      <c r="B50" s="121" t="s">
        <v>116</v>
      </c>
      <c r="C50" s="128">
        <v>2</v>
      </c>
      <c r="D50" s="280">
        <f>(C50/C51)*1000</f>
        <v>0.43630017452006981</v>
      </c>
      <c r="E50" s="128">
        <v>1</v>
      </c>
      <c r="F50" s="280">
        <f>(E50/E51)*1000</f>
        <v>0.31142946122703208</v>
      </c>
      <c r="G50" s="128">
        <v>3</v>
      </c>
      <c r="H50" s="280">
        <f>(G50/G51)*1000</f>
        <v>0.7651109410864575</v>
      </c>
      <c r="I50" s="128">
        <v>7</v>
      </c>
      <c r="J50" s="280">
        <f>(I50/I51)*1000</f>
        <v>2.5744759102611252</v>
      </c>
      <c r="K50" s="128">
        <v>0</v>
      </c>
      <c r="L50" s="280">
        <f>(K50/K51)*1000</f>
        <v>0</v>
      </c>
      <c r="M50" s="129">
        <v>1</v>
      </c>
      <c r="N50" s="273">
        <f>(M50/M51)*1000</f>
        <v>0.49285362247412523</v>
      </c>
      <c r="O50" s="129">
        <v>1</v>
      </c>
      <c r="P50" s="273">
        <f>(O50/O51)*1000</f>
        <v>0.47214353163361666</v>
      </c>
      <c r="Q50" s="129">
        <v>3</v>
      </c>
      <c r="R50" s="273">
        <f>(Q50/Q51)*1000</f>
        <v>1.1507479861910241</v>
      </c>
    </row>
    <row r="51" spans="1:18" ht="22.5" x14ac:dyDescent="0.25">
      <c r="A51" s="290"/>
      <c r="B51" s="121" t="s">
        <v>117</v>
      </c>
      <c r="C51" s="127">
        <f>C39</f>
        <v>4584</v>
      </c>
      <c r="D51" s="281"/>
      <c r="E51" s="127">
        <f>E39</f>
        <v>3211</v>
      </c>
      <c r="F51" s="281"/>
      <c r="G51" s="127">
        <f>G39</f>
        <v>3921</v>
      </c>
      <c r="H51" s="281"/>
      <c r="I51" s="127">
        <v>2719</v>
      </c>
      <c r="J51" s="281"/>
      <c r="K51" s="127">
        <v>2086</v>
      </c>
      <c r="L51" s="281"/>
      <c r="M51" s="123">
        <v>2029</v>
      </c>
      <c r="N51" s="273"/>
      <c r="O51" s="132">
        <v>2118</v>
      </c>
      <c r="P51" s="273"/>
      <c r="Q51" s="140">
        <v>2607</v>
      </c>
      <c r="R51" s="273"/>
    </row>
    <row r="52" spans="1:18" ht="51" customHeight="1" x14ac:dyDescent="0.25">
      <c r="A52" s="290" t="s">
        <v>118</v>
      </c>
      <c r="B52" s="121" t="s">
        <v>119</v>
      </c>
      <c r="C52" s="128">
        <f>[1]detallado!B309</f>
        <v>10</v>
      </c>
      <c r="D52" s="278">
        <f t="shared" ref="D52" si="83">C52/C53</f>
        <v>7.6745970836531079E-3</v>
      </c>
      <c r="E52" s="128">
        <v>2</v>
      </c>
      <c r="F52" s="278">
        <f t="shared" ref="F52" si="84">E52/E53</f>
        <v>1.834862385321101E-3</v>
      </c>
      <c r="G52" s="128">
        <v>10</v>
      </c>
      <c r="H52" s="278">
        <f t="shared" ref="H52" si="85">G52/G53</f>
        <v>8.9766606822262122E-3</v>
      </c>
      <c r="I52" s="128">
        <v>2</v>
      </c>
      <c r="J52" s="278">
        <f t="shared" ref="J52" si="86">I52/I53</f>
        <v>2.936857562408223E-3</v>
      </c>
      <c r="K52" s="128">
        <v>1</v>
      </c>
      <c r="L52" s="278">
        <f t="shared" ref="L52" si="87">K52/K53</f>
        <v>1.1235955056179776E-3</v>
      </c>
      <c r="M52" s="129">
        <v>2</v>
      </c>
      <c r="N52" s="274">
        <f t="shared" ref="N52" si="88">M52/M53</f>
        <v>2.631578947368421E-3</v>
      </c>
      <c r="O52" s="129">
        <v>1</v>
      </c>
      <c r="P52" s="274">
        <f t="shared" ref="P52" si="89">O52/O53</f>
        <v>1.6339869281045752E-3</v>
      </c>
      <c r="Q52" s="129">
        <v>1</v>
      </c>
      <c r="R52" s="274">
        <f t="shared" ref="R52" si="90">Q52/Q53</f>
        <v>1.3315579227696406E-3</v>
      </c>
    </row>
    <row r="53" spans="1:18" ht="32.25" customHeight="1" x14ac:dyDescent="0.25">
      <c r="A53" s="290"/>
      <c r="B53" s="121" t="s">
        <v>120</v>
      </c>
      <c r="C53" s="128">
        <f>[1]detallado!B306-[1]detallado!B302</f>
        <v>1303</v>
      </c>
      <c r="D53" s="279"/>
      <c r="E53" s="128">
        <f>E49</f>
        <v>1090</v>
      </c>
      <c r="F53" s="279"/>
      <c r="G53" s="128">
        <f>G41</f>
        <v>1114</v>
      </c>
      <c r="H53" s="279"/>
      <c r="I53" s="128">
        <v>681</v>
      </c>
      <c r="J53" s="279"/>
      <c r="K53" s="128">
        <v>890</v>
      </c>
      <c r="L53" s="279"/>
      <c r="M53" s="129">
        <v>760</v>
      </c>
      <c r="N53" s="274"/>
      <c r="O53" s="129">
        <v>612</v>
      </c>
      <c r="P53" s="274"/>
      <c r="Q53" s="129">
        <v>751</v>
      </c>
      <c r="R53" s="274"/>
    </row>
    <row r="54" spans="1:18" ht="52.5" customHeight="1" x14ac:dyDescent="0.25">
      <c r="A54" s="290" t="s">
        <v>121</v>
      </c>
      <c r="B54" s="121" t="s">
        <v>122</v>
      </c>
      <c r="C54" s="128">
        <f>[1]detallado!B311</f>
        <v>12</v>
      </c>
      <c r="D54" s="280">
        <f>(C54/C55)*1000</f>
        <v>8.791208791208792</v>
      </c>
      <c r="E54" s="128">
        <v>11</v>
      </c>
      <c r="F54" s="280">
        <f>(E54/E55)*1000</f>
        <v>8.8924818108326598</v>
      </c>
      <c r="G54" s="128">
        <v>10</v>
      </c>
      <c r="H54" s="280">
        <f>(G54/G55)*1000</f>
        <v>8.169934640522877</v>
      </c>
      <c r="I54" s="128">
        <v>3</v>
      </c>
      <c r="J54" s="280">
        <f>(I54/I55)*1000</f>
        <v>4.4444444444444446</v>
      </c>
      <c r="K54" s="128">
        <v>4</v>
      </c>
      <c r="L54" s="280">
        <f>(K54/K55)*1000</f>
        <v>4.8134777376654636</v>
      </c>
      <c r="M54" s="129">
        <v>12</v>
      </c>
      <c r="N54" s="273">
        <f>(M54/M55)*1000</f>
        <v>16.877637130801688</v>
      </c>
      <c r="O54" s="129">
        <v>4</v>
      </c>
      <c r="P54" s="273">
        <f>(O54/O55)*1000</f>
        <v>7.0298769771528997</v>
      </c>
      <c r="Q54" s="129">
        <v>3</v>
      </c>
      <c r="R54" s="273">
        <f>(Q54/Q55)*1000</f>
        <v>4.5662100456620998</v>
      </c>
    </row>
    <row r="55" spans="1:18" ht="21.75" customHeight="1" x14ac:dyDescent="0.25">
      <c r="A55" s="290"/>
      <c r="B55" s="121" t="s">
        <v>123</v>
      </c>
      <c r="C55" s="128">
        <f>[1]detallado!B312</f>
        <v>1365</v>
      </c>
      <c r="D55" s="281"/>
      <c r="E55" s="128">
        <v>1237</v>
      </c>
      <c r="F55" s="281"/>
      <c r="G55" s="128">
        <v>1224</v>
      </c>
      <c r="H55" s="281"/>
      <c r="I55" s="128">
        <v>675</v>
      </c>
      <c r="J55" s="281"/>
      <c r="K55" s="128">
        <v>831</v>
      </c>
      <c r="L55" s="281"/>
      <c r="M55" s="124">
        <v>711</v>
      </c>
      <c r="N55" s="273"/>
      <c r="O55" s="133">
        <v>569</v>
      </c>
      <c r="P55" s="273"/>
      <c r="Q55" s="141">
        <v>657</v>
      </c>
      <c r="R55" s="273"/>
    </row>
    <row r="56" spans="1:18" ht="33.75" x14ac:dyDescent="0.25">
      <c r="A56" s="290" t="s">
        <v>124</v>
      </c>
      <c r="B56" s="121" t="s">
        <v>125</v>
      </c>
      <c r="C56" s="128">
        <f>[1]detallado!B750</f>
        <v>3</v>
      </c>
      <c r="D56" s="278">
        <f t="shared" ref="D56" si="91">C56/C57</f>
        <v>7.3891625615763543E-3</v>
      </c>
      <c r="E56" s="128">
        <v>9</v>
      </c>
      <c r="F56" s="278">
        <f t="shared" ref="F56" si="92">E56/E57</f>
        <v>1.6574585635359115E-2</v>
      </c>
      <c r="G56" s="128">
        <v>2</v>
      </c>
      <c r="H56" s="278">
        <f t="shared" ref="H56" si="93">G56/G57</f>
        <v>5.2770448548812663E-3</v>
      </c>
      <c r="I56" s="128">
        <v>6</v>
      </c>
      <c r="J56" s="278">
        <f t="shared" ref="J56" si="94">I56/I57</f>
        <v>0.08</v>
      </c>
      <c r="K56" s="128">
        <v>0</v>
      </c>
      <c r="L56" s="278">
        <f t="shared" ref="L56" si="95">K56/K57</f>
        <v>0</v>
      </c>
      <c r="M56" s="124">
        <v>0</v>
      </c>
      <c r="N56" s="274">
        <f t="shared" ref="N56" si="96">M56/M57</f>
        <v>0</v>
      </c>
      <c r="O56" s="133">
        <v>0</v>
      </c>
      <c r="P56" s="274">
        <v>0</v>
      </c>
      <c r="Q56" s="141">
        <v>0</v>
      </c>
      <c r="R56" s="274">
        <v>0</v>
      </c>
    </row>
    <row r="57" spans="1:18" x14ac:dyDescent="0.25">
      <c r="A57" s="290"/>
      <c r="B57" s="121" t="s">
        <v>126</v>
      </c>
      <c r="C57" s="128">
        <f>[1]detallado!B726</f>
        <v>406</v>
      </c>
      <c r="D57" s="279"/>
      <c r="E57" s="128">
        <v>543</v>
      </c>
      <c r="F57" s="279"/>
      <c r="G57" s="128">
        <f>359+20</f>
        <v>379</v>
      </c>
      <c r="H57" s="279"/>
      <c r="I57" s="128">
        <v>75</v>
      </c>
      <c r="J57" s="279"/>
      <c r="K57" s="128">
        <v>81</v>
      </c>
      <c r="L57" s="279"/>
      <c r="M57" s="124">
        <v>57</v>
      </c>
      <c r="N57" s="274"/>
      <c r="O57" s="133">
        <v>0</v>
      </c>
      <c r="P57" s="274"/>
      <c r="Q57" s="141">
        <v>0</v>
      </c>
      <c r="R57" s="274"/>
    </row>
    <row r="58" spans="1:18" ht="45" x14ac:dyDescent="0.25">
      <c r="A58" s="290" t="s">
        <v>133</v>
      </c>
      <c r="B58" s="121" t="s">
        <v>134</v>
      </c>
      <c r="C58" s="128">
        <f>[1]detallado!B213</f>
        <v>4957</v>
      </c>
      <c r="D58" s="286">
        <f t="shared" ref="D58" si="97">C58/C59</f>
        <v>10.966814159292035</v>
      </c>
      <c r="E58" s="128">
        <f>[1]detallado!C213</f>
        <v>11946</v>
      </c>
      <c r="F58" s="286">
        <f t="shared" ref="F58" si="98">E58/E59</f>
        <v>16.591666666666665</v>
      </c>
      <c r="G58" s="126">
        <v>3018</v>
      </c>
      <c r="H58" s="286">
        <f t="shared" ref="H58" si="99">G58/G59</f>
        <v>8.9289940828402372</v>
      </c>
      <c r="I58" s="126">
        <v>14537</v>
      </c>
      <c r="J58" s="286">
        <f t="shared" ref="J58" si="100">I58/I59</f>
        <v>37.37017994858612</v>
      </c>
      <c r="K58" s="126">
        <v>101</v>
      </c>
      <c r="L58" s="286">
        <f t="shared" ref="L58" si="101">K58/K59</f>
        <v>3.3666666666666667</v>
      </c>
      <c r="M58" s="122">
        <v>814</v>
      </c>
      <c r="N58" s="275">
        <f t="shared" ref="N58" si="102">M58/M59</f>
        <v>5.8142857142857141</v>
      </c>
      <c r="O58" s="131">
        <v>305</v>
      </c>
      <c r="P58" s="275">
        <f t="shared" ref="P58" si="103">O58/O59</f>
        <v>5.6481481481481479</v>
      </c>
      <c r="Q58" s="139">
        <v>202</v>
      </c>
      <c r="R58" s="275">
        <f t="shared" ref="R58" si="104">Q58/Q59</f>
        <v>3.8846153846153846</v>
      </c>
    </row>
    <row r="59" spans="1:18" ht="22.5" x14ac:dyDescent="0.25">
      <c r="A59" s="290"/>
      <c r="B59" s="121" t="s">
        <v>135</v>
      </c>
      <c r="C59" s="128">
        <f>[1]detallado!B231</f>
        <v>452</v>
      </c>
      <c r="D59" s="287"/>
      <c r="E59" s="128">
        <f>[1]detallado!C231</f>
        <v>720</v>
      </c>
      <c r="F59" s="287"/>
      <c r="G59" s="128">
        <v>338</v>
      </c>
      <c r="H59" s="287"/>
      <c r="I59" s="126">
        <v>389</v>
      </c>
      <c r="J59" s="287"/>
      <c r="K59" s="126">
        <v>30</v>
      </c>
      <c r="L59" s="287"/>
      <c r="M59" s="122">
        <v>140</v>
      </c>
      <c r="N59" s="275"/>
      <c r="O59" s="131">
        <v>54</v>
      </c>
      <c r="P59" s="275"/>
      <c r="Q59" s="139">
        <v>52</v>
      </c>
      <c r="R59" s="275"/>
    </row>
    <row r="60" spans="1:18" ht="45" x14ac:dyDescent="0.25">
      <c r="A60" s="290" t="s">
        <v>136</v>
      </c>
      <c r="B60" s="121" t="s">
        <v>137</v>
      </c>
      <c r="C60" s="128">
        <f>[1]detallado!B220</f>
        <v>264</v>
      </c>
      <c r="D60" s="286">
        <f t="shared" ref="D60" si="105">C60/C61</f>
        <v>3.2195121951219514</v>
      </c>
      <c r="E60" s="128">
        <f>[1]detallado!C220</f>
        <v>1304</v>
      </c>
      <c r="F60" s="286">
        <f t="shared" ref="F60" si="106">E60/E61</f>
        <v>7.0869565217391308</v>
      </c>
      <c r="G60" s="126">
        <v>1556</v>
      </c>
      <c r="H60" s="286">
        <f t="shared" ref="H60" si="107">G60/G61</f>
        <v>8.7909604519774014</v>
      </c>
      <c r="I60" s="126">
        <v>4185</v>
      </c>
      <c r="J60" s="286">
        <f t="shared" ref="J60" si="108">I60/I61</f>
        <v>35.466101694915253</v>
      </c>
      <c r="K60" s="126">
        <v>0</v>
      </c>
      <c r="L60" s="286">
        <v>0</v>
      </c>
      <c r="M60" s="122">
        <v>41</v>
      </c>
      <c r="N60" s="275">
        <f>M60/M61</f>
        <v>5.8571428571428568</v>
      </c>
      <c r="O60" s="131">
        <v>34</v>
      </c>
      <c r="P60" s="275">
        <f>O60/O61</f>
        <v>8.5</v>
      </c>
      <c r="Q60" s="139">
        <v>4</v>
      </c>
      <c r="R60" s="275">
        <f>Q60/Q61</f>
        <v>2</v>
      </c>
    </row>
    <row r="61" spans="1:18" ht="22.5" x14ac:dyDescent="0.25">
      <c r="A61" s="290"/>
      <c r="B61" s="121" t="s">
        <v>138</v>
      </c>
      <c r="C61" s="128">
        <f>[1]detallado!B238</f>
        <v>82</v>
      </c>
      <c r="D61" s="287"/>
      <c r="E61" s="128">
        <f>[1]detallado!C238</f>
        <v>184</v>
      </c>
      <c r="F61" s="287"/>
      <c r="G61" s="128">
        <v>177</v>
      </c>
      <c r="H61" s="287"/>
      <c r="I61" s="126">
        <v>118</v>
      </c>
      <c r="J61" s="287"/>
      <c r="K61" s="126">
        <v>0</v>
      </c>
      <c r="L61" s="287"/>
      <c r="M61" s="122">
        <v>7</v>
      </c>
      <c r="N61" s="275"/>
      <c r="O61" s="131">
        <v>4</v>
      </c>
      <c r="P61" s="275"/>
      <c r="Q61" s="139">
        <v>2</v>
      </c>
      <c r="R61" s="275"/>
    </row>
    <row r="62" spans="1:18" ht="45" x14ac:dyDescent="0.25">
      <c r="A62" s="290" t="s">
        <v>139</v>
      </c>
      <c r="B62" s="121" t="s">
        <v>140</v>
      </c>
      <c r="C62" s="128">
        <f>[1]detallado!B212</f>
        <v>853</v>
      </c>
      <c r="D62" s="286">
        <f t="shared" ref="D62" si="109">C62/C63</f>
        <v>3.439516129032258</v>
      </c>
      <c r="E62" s="128">
        <f>[1]detallado!C212</f>
        <v>2981</v>
      </c>
      <c r="F62" s="286">
        <f t="shared" ref="F62" si="110">E62/E63</f>
        <v>6.4945533769063184</v>
      </c>
      <c r="G62" s="126">
        <v>3018</v>
      </c>
      <c r="H62" s="286">
        <f t="shared" ref="H62" si="111">G62/G63</f>
        <v>9.4905660377358494</v>
      </c>
      <c r="I62" s="126">
        <v>195</v>
      </c>
      <c r="J62" s="286">
        <f t="shared" ref="J62" si="112">I62/I63</f>
        <v>21.666666666666668</v>
      </c>
      <c r="K62" s="126">
        <v>4</v>
      </c>
      <c r="L62" s="288">
        <f t="shared" ref="L62" si="113">K62/K63</f>
        <v>4</v>
      </c>
      <c r="M62" s="122">
        <v>82</v>
      </c>
      <c r="N62" s="275">
        <f t="shared" ref="N62" si="114">M62/M63</f>
        <v>6.833333333333333</v>
      </c>
      <c r="O62" s="131">
        <v>40</v>
      </c>
      <c r="P62" s="275">
        <f t="shared" ref="P62" si="115">O62/O63</f>
        <v>5</v>
      </c>
      <c r="Q62" s="139">
        <v>7</v>
      </c>
      <c r="R62" s="275">
        <f t="shared" ref="R62" si="116">Q62/Q63</f>
        <v>2.3333333333333335</v>
      </c>
    </row>
    <row r="63" spans="1:18" ht="22.5" x14ac:dyDescent="0.25">
      <c r="A63" s="290"/>
      <c r="B63" s="121" t="s">
        <v>141</v>
      </c>
      <c r="C63" s="128">
        <f>[1]detallado!B230</f>
        <v>248</v>
      </c>
      <c r="D63" s="287"/>
      <c r="E63" s="128">
        <f>[1]detallado!C230</f>
        <v>459</v>
      </c>
      <c r="F63" s="287"/>
      <c r="G63" s="128">
        <v>318</v>
      </c>
      <c r="H63" s="287"/>
      <c r="I63" s="126">
        <v>9</v>
      </c>
      <c r="J63" s="287"/>
      <c r="K63" s="126">
        <v>1</v>
      </c>
      <c r="L63" s="289"/>
      <c r="M63" s="122">
        <v>12</v>
      </c>
      <c r="N63" s="275"/>
      <c r="O63" s="131">
        <v>8</v>
      </c>
      <c r="P63" s="275"/>
      <c r="Q63" s="139">
        <v>3</v>
      </c>
      <c r="R63" s="275"/>
    </row>
    <row r="64" spans="1:18" ht="45" x14ac:dyDescent="0.25">
      <c r="A64" s="290" t="s">
        <v>142</v>
      </c>
      <c r="B64" s="121" t="s">
        <v>143</v>
      </c>
      <c r="C64" s="128">
        <f>[1]detallado!B212</f>
        <v>853</v>
      </c>
      <c r="D64" s="286">
        <f t="shared" ref="D64" si="117">C64/C65</f>
        <v>3.439516129032258</v>
      </c>
      <c r="E64" s="128">
        <f>E62</f>
        <v>2981</v>
      </c>
      <c r="F64" s="286">
        <f t="shared" ref="F64" si="118">E64/E65</f>
        <v>6.4945533769063184</v>
      </c>
      <c r="G64" s="126">
        <v>3018</v>
      </c>
      <c r="H64" s="286">
        <f t="shared" ref="H64" si="119">G64/G65</f>
        <v>9.4905660377358494</v>
      </c>
      <c r="I64" s="126">
        <v>195</v>
      </c>
      <c r="J64" s="286">
        <f t="shared" ref="J64" si="120">I64/I65</f>
        <v>21.666666666666668</v>
      </c>
      <c r="K64" s="126">
        <v>7</v>
      </c>
      <c r="L64" s="288">
        <f t="shared" ref="L64" si="121">K64/K65</f>
        <v>3.5</v>
      </c>
      <c r="M64" s="122">
        <v>231</v>
      </c>
      <c r="N64" s="275">
        <f t="shared" ref="N64" si="122">M64/M65</f>
        <v>6.6</v>
      </c>
      <c r="O64" s="131">
        <v>59</v>
      </c>
      <c r="P64" s="275">
        <f t="shared" ref="P64" si="123">O64/O65</f>
        <v>6.5555555555555554</v>
      </c>
      <c r="Q64" s="139">
        <v>53</v>
      </c>
      <c r="R64" s="275">
        <f t="shared" ref="R64" si="124">Q64/Q65</f>
        <v>3.3125</v>
      </c>
    </row>
    <row r="65" spans="1:18" ht="33" customHeight="1" x14ac:dyDescent="0.25">
      <c r="A65" s="290"/>
      <c r="B65" s="121" t="s">
        <v>144</v>
      </c>
      <c r="C65" s="128">
        <f>[1]detallado!B230</f>
        <v>248</v>
      </c>
      <c r="D65" s="287"/>
      <c r="E65" s="128">
        <f>E63</f>
        <v>459</v>
      </c>
      <c r="F65" s="287"/>
      <c r="G65" s="128">
        <v>318</v>
      </c>
      <c r="H65" s="287"/>
      <c r="I65" s="126">
        <v>9</v>
      </c>
      <c r="J65" s="287"/>
      <c r="K65" s="126">
        <v>2</v>
      </c>
      <c r="L65" s="289"/>
      <c r="M65" s="122">
        <v>35</v>
      </c>
      <c r="N65" s="275"/>
      <c r="O65" s="131">
        <v>9</v>
      </c>
      <c r="P65" s="275"/>
      <c r="Q65" s="139">
        <v>16</v>
      </c>
      <c r="R65" s="275"/>
    </row>
    <row r="66" spans="1:18" ht="45" x14ac:dyDescent="0.25">
      <c r="A66" s="290" t="s">
        <v>145</v>
      </c>
      <c r="B66" s="121" t="s">
        <v>146</v>
      </c>
      <c r="C66" s="128">
        <f>[1]detallado!B207</f>
        <v>511</v>
      </c>
      <c r="D66" s="286">
        <f t="shared" ref="D66" si="125">C66/C67</f>
        <v>4.8666666666666663</v>
      </c>
      <c r="E66" s="128">
        <f>[1]detallado!C207</f>
        <v>1094</v>
      </c>
      <c r="F66" s="286">
        <f t="shared" ref="F66" si="126">E66/E67</f>
        <v>5.2344497607655498</v>
      </c>
      <c r="G66" s="126">
        <v>919</v>
      </c>
      <c r="H66" s="286">
        <f t="shared" ref="H66" si="127">G66/G67</f>
        <v>7.7226890756302522</v>
      </c>
      <c r="I66" s="126">
        <v>0</v>
      </c>
      <c r="J66" s="286">
        <v>0</v>
      </c>
      <c r="K66" s="126">
        <v>9</v>
      </c>
      <c r="L66" s="288">
        <f>+K66/K67</f>
        <v>4.5</v>
      </c>
      <c r="M66" s="122">
        <v>35</v>
      </c>
      <c r="N66" s="275">
        <f>+M66/M67</f>
        <v>7</v>
      </c>
      <c r="O66" s="131">
        <v>23</v>
      </c>
      <c r="P66" s="275">
        <f>+O66/O67</f>
        <v>3.8333333333333335</v>
      </c>
      <c r="Q66" s="139">
        <v>25</v>
      </c>
      <c r="R66" s="275">
        <f>+Q66/Q67</f>
        <v>3.125</v>
      </c>
    </row>
    <row r="67" spans="1:18" ht="22.5" x14ac:dyDescent="0.25">
      <c r="A67" s="290"/>
      <c r="B67" s="121" t="s">
        <v>147</v>
      </c>
      <c r="C67" s="128">
        <f>[1]detallado!B225</f>
        <v>105</v>
      </c>
      <c r="D67" s="287"/>
      <c r="E67" s="128">
        <f>[1]detallado!C225</f>
        <v>209</v>
      </c>
      <c r="F67" s="287"/>
      <c r="G67" s="128">
        <v>119</v>
      </c>
      <c r="H67" s="287"/>
      <c r="I67" s="128">
        <v>0</v>
      </c>
      <c r="J67" s="287"/>
      <c r="K67" s="128">
        <v>2</v>
      </c>
      <c r="L67" s="289"/>
      <c r="M67" s="124">
        <v>5</v>
      </c>
      <c r="N67" s="275"/>
      <c r="O67" s="133">
        <v>6</v>
      </c>
      <c r="P67" s="275"/>
      <c r="Q67" s="141">
        <v>8</v>
      </c>
      <c r="R67" s="275"/>
    </row>
    <row r="68" spans="1:18" ht="33.75" x14ac:dyDescent="0.25">
      <c r="A68" s="290" t="s">
        <v>148</v>
      </c>
      <c r="B68" s="121" t="s">
        <v>149</v>
      </c>
      <c r="C68" s="128">
        <v>202</v>
      </c>
      <c r="D68" s="280">
        <f t="shared" ref="D68" si="128">C68/C69</f>
        <v>0.46651270207852191</v>
      </c>
      <c r="E68" s="128">
        <v>187</v>
      </c>
      <c r="F68" s="280">
        <f t="shared" ref="F68" si="129">E68/E69</f>
        <v>0.59177215189873422</v>
      </c>
      <c r="G68" s="128">
        <v>176</v>
      </c>
      <c r="H68" s="280">
        <f t="shared" ref="H68" si="130">G68/G69</f>
        <v>0.4607329842931937</v>
      </c>
      <c r="I68" s="128">
        <v>125</v>
      </c>
      <c r="J68" s="280">
        <f t="shared" ref="J68" si="131">I68/I69</f>
        <v>0.50813008130081305</v>
      </c>
      <c r="K68" s="127">
        <v>92.58</v>
      </c>
      <c r="L68" s="280">
        <f t="shared" ref="L68" si="132">K68/K69</f>
        <v>0.3825619834710744</v>
      </c>
      <c r="M68" s="130">
        <v>94</v>
      </c>
      <c r="N68" s="273">
        <f t="shared" ref="N68" si="133">M68/M69</f>
        <v>0.43317972350230416</v>
      </c>
      <c r="O68" s="130">
        <v>100</v>
      </c>
      <c r="P68" s="273">
        <f t="shared" ref="P68" si="134">O68/O69</f>
        <v>0.58139534883720934</v>
      </c>
      <c r="Q68" s="129">
        <v>104</v>
      </c>
      <c r="R68" s="273">
        <f t="shared" ref="R68" si="135">Q68/Q69</f>
        <v>0.43881856540084391</v>
      </c>
    </row>
    <row r="69" spans="1:18" x14ac:dyDescent="0.25">
      <c r="A69" s="290"/>
      <c r="B69" s="121" t="s">
        <v>150</v>
      </c>
      <c r="C69" s="128">
        <v>433</v>
      </c>
      <c r="D69" s="281"/>
      <c r="E69" s="128">
        <v>316</v>
      </c>
      <c r="F69" s="281"/>
      <c r="G69" s="128">
        <v>382</v>
      </c>
      <c r="H69" s="281"/>
      <c r="I69" s="128">
        <v>246</v>
      </c>
      <c r="J69" s="281"/>
      <c r="K69" s="128">
        <v>242</v>
      </c>
      <c r="L69" s="281"/>
      <c r="M69" s="129">
        <v>217</v>
      </c>
      <c r="N69" s="273"/>
      <c r="O69" s="129">
        <v>172</v>
      </c>
      <c r="P69" s="273"/>
      <c r="Q69" s="129">
        <v>237</v>
      </c>
      <c r="R69" s="273"/>
    </row>
    <row r="70" spans="1:18" ht="45" x14ac:dyDescent="0.25">
      <c r="A70" s="290" t="s">
        <v>151</v>
      </c>
      <c r="B70" s="121" t="s">
        <v>152</v>
      </c>
      <c r="C70" s="128" t="s">
        <v>47</v>
      </c>
      <c r="D70" s="282" t="s">
        <v>47</v>
      </c>
      <c r="E70" s="128" t="s">
        <v>47</v>
      </c>
      <c r="F70" s="282" t="s">
        <v>47</v>
      </c>
      <c r="G70" s="128" t="s">
        <v>47</v>
      </c>
      <c r="H70" s="282" t="s">
        <v>47</v>
      </c>
      <c r="I70" s="128" t="s">
        <v>47</v>
      </c>
      <c r="J70" s="282" t="s">
        <v>47</v>
      </c>
      <c r="K70" s="128" t="s">
        <v>47</v>
      </c>
      <c r="L70" s="282" t="s">
        <v>47</v>
      </c>
      <c r="M70" s="124" t="s">
        <v>47</v>
      </c>
      <c r="N70" s="276" t="s">
        <v>47</v>
      </c>
      <c r="O70" s="133">
        <v>0</v>
      </c>
      <c r="P70" s="276" t="s">
        <v>47</v>
      </c>
      <c r="Q70" s="141">
        <v>0</v>
      </c>
      <c r="R70" s="276" t="s">
        <v>47</v>
      </c>
    </row>
    <row r="71" spans="1:18" ht="22.5" x14ac:dyDescent="0.25">
      <c r="A71" s="290"/>
      <c r="B71" s="121" t="s">
        <v>153</v>
      </c>
      <c r="C71" s="128" t="s">
        <v>47</v>
      </c>
      <c r="D71" s="283"/>
      <c r="E71" s="128" t="s">
        <v>47</v>
      </c>
      <c r="F71" s="283"/>
      <c r="G71" s="128" t="s">
        <v>47</v>
      </c>
      <c r="H71" s="283"/>
      <c r="I71" s="128" t="s">
        <v>47</v>
      </c>
      <c r="J71" s="283"/>
      <c r="K71" s="128" t="s">
        <v>47</v>
      </c>
      <c r="L71" s="283"/>
      <c r="M71" s="124" t="s">
        <v>47</v>
      </c>
      <c r="N71" s="276"/>
      <c r="O71" s="133">
        <v>0</v>
      </c>
      <c r="P71" s="276"/>
      <c r="Q71" s="141">
        <v>0</v>
      </c>
      <c r="R71" s="276"/>
    </row>
    <row r="72" spans="1:18" ht="45" x14ac:dyDescent="0.25">
      <c r="A72" s="290" t="s">
        <v>154</v>
      </c>
      <c r="B72" s="121" t="s">
        <v>155</v>
      </c>
      <c r="C72" s="127">
        <f>[1]detallado!B283</f>
        <v>17282.32</v>
      </c>
      <c r="D72" s="280">
        <f t="shared" ref="D72" si="136">C72/C73</f>
        <v>38.32</v>
      </c>
      <c r="E72" s="127">
        <f>[1]detallado!C283</f>
        <v>10038.6</v>
      </c>
      <c r="F72" s="280">
        <f t="shared" ref="F72" si="137">E72/E73</f>
        <v>35.1</v>
      </c>
      <c r="G72" s="127">
        <v>10619.51</v>
      </c>
      <c r="H72" s="280">
        <f t="shared" ref="H72" si="138">G72/G73</f>
        <v>33.29</v>
      </c>
      <c r="I72" s="127">
        <f>12.53*I73</f>
        <v>3069.85</v>
      </c>
      <c r="J72" s="280">
        <f t="shared" ref="J72" si="139">I72/I73</f>
        <v>12.53</v>
      </c>
      <c r="K72" s="127">
        <f>29.04*K73</f>
        <v>8334.48</v>
      </c>
      <c r="L72" s="280">
        <f t="shared" ref="L72" si="140">K72/K73</f>
        <v>29.04</v>
      </c>
      <c r="M72" s="123">
        <f>39.51*M73</f>
        <v>7388.37</v>
      </c>
      <c r="N72" s="273">
        <f t="shared" ref="N72" si="141">M72/M73</f>
        <v>39.51</v>
      </c>
      <c r="O72" s="132">
        <f>10.28*213</f>
        <v>2189.64</v>
      </c>
      <c r="P72" s="273">
        <f t="shared" ref="P72" si="142">O72/O73</f>
        <v>10.28</v>
      </c>
      <c r="Q72" s="140">
        <f>31.42*Q73</f>
        <v>9048.9600000000009</v>
      </c>
      <c r="R72" s="273">
        <f t="shared" ref="R72" si="143">Q72/Q73</f>
        <v>31.42</v>
      </c>
    </row>
    <row r="73" spans="1:18" ht="31.5" customHeight="1" x14ac:dyDescent="0.25">
      <c r="A73" s="290"/>
      <c r="B73" s="121" t="s">
        <v>156</v>
      </c>
      <c r="C73" s="128">
        <f>[1]detallado!B284</f>
        <v>451</v>
      </c>
      <c r="D73" s="281"/>
      <c r="E73" s="128">
        <f>[1]detallado!C284</f>
        <v>286</v>
      </c>
      <c r="F73" s="281"/>
      <c r="G73" s="128">
        <v>319</v>
      </c>
      <c r="H73" s="281"/>
      <c r="I73" s="128">
        <v>245</v>
      </c>
      <c r="J73" s="281"/>
      <c r="K73" s="128">
        <v>287</v>
      </c>
      <c r="L73" s="281"/>
      <c r="M73" s="124">
        <v>187</v>
      </c>
      <c r="N73" s="273"/>
      <c r="O73" s="133">
        <v>213</v>
      </c>
      <c r="P73" s="273"/>
      <c r="Q73" s="141">
        <v>288</v>
      </c>
      <c r="R73" s="273"/>
    </row>
    <row r="74" spans="1:18" ht="58.5" customHeight="1" x14ac:dyDescent="0.25">
      <c r="A74" s="290" t="s">
        <v>157</v>
      </c>
      <c r="B74" s="121" t="s">
        <v>158</v>
      </c>
      <c r="C74" s="128">
        <f>[1]detallado!B680</f>
        <v>259</v>
      </c>
      <c r="D74" s="280">
        <f t="shared" ref="D74" si="144">C74/C75</f>
        <v>28.777777777777779</v>
      </c>
      <c r="E74" s="128">
        <v>36</v>
      </c>
      <c r="F74" s="280">
        <f t="shared" ref="F74" si="145">E74/E75</f>
        <v>12</v>
      </c>
      <c r="G74" s="128">
        <v>73</v>
      </c>
      <c r="H74" s="280">
        <f t="shared" ref="H74" si="146">G74/G75</f>
        <v>8.1111111111111107</v>
      </c>
      <c r="I74" s="128">
        <v>0</v>
      </c>
      <c r="J74" s="280">
        <v>0</v>
      </c>
      <c r="K74" s="128">
        <v>0</v>
      </c>
      <c r="L74" s="280">
        <v>0</v>
      </c>
      <c r="M74" s="124">
        <v>0</v>
      </c>
      <c r="N74" s="273">
        <v>0</v>
      </c>
      <c r="O74" s="133">
        <v>0</v>
      </c>
      <c r="P74" s="273">
        <v>0</v>
      </c>
      <c r="Q74" s="141">
        <v>0</v>
      </c>
      <c r="R74" s="273">
        <v>0</v>
      </c>
    </row>
    <row r="75" spans="1:18" ht="35.25" customHeight="1" x14ac:dyDescent="0.25">
      <c r="A75" s="290"/>
      <c r="B75" s="121" t="s">
        <v>159</v>
      </c>
      <c r="C75" s="128">
        <f>[1]detallado!B681</f>
        <v>9</v>
      </c>
      <c r="D75" s="281"/>
      <c r="E75" s="128">
        <v>3</v>
      </c>
      <c r="F75" s="281"/>
      <c r="G75" s="128">
        <v>9</v>
      </c>
      <c r="H75" s="281"/>
      <c r="I75" s="128">
        <v>0</v>
      </c>
      <c r="J75" s="281"/>
      <c r="K75" s="128">
        <v>0</v>
      </c>
      <c r="L75" s="281"/>
      <c r="M75" s="124">
        <v>0</v>
      </c>
      <c r="N75" s="273"/>
      <c r="O75" s="133">
        <v>0</v>
      </c>
      <c r="P75" s="273"/>
      <c r="Q75" s="141">
        <v>0</v>
      </c>
      <c r="R75" s="273"/>
    </row>
    <row r="76" spans="1:18" ht="45" x14ac:dyDescent="0.25">
      <c r="A76" s="290" t="s">
        <v>160</v>
      </c>
      <c r="B76" s="121" t="s">
        <v>161</v>
      </c>
      <c r="C76" s="127">
        <f>[1]detallado!B683</f>
        <v>13</v>
      </c>
      <c r="D76" s="280">
        <f t="shared" ref="D76" si="147">C76/C77</f>
        <v>13</v>
      </c>
      <c r="E76" s="127">
        <v>30</v>
      </c>
      <c r="F76" s="280">
        <f t="shared" ref="F76" si="148">E76/E77</f>
        <v>10</v>
      </c>
      <c r="G76" s="127">
        <v>30</v>
      </c>
      <c r="H76" s="280">
        <f t="shared" ref="H76" si="149">G76/G77</f>
        <v>6</v>
      </c>
      <c r="I76" s="127">
        <v>10</v>
      </c>
      <c r="J76" s="280">
        <f t="shared" ref="J76" si="150">I76/I77</f>
        <v>10</v>
      </c>
      <c r="K76" s="127">
        <v>2</v>
      </c>
      <c r="L76" s="280">
        <f t="shared" ref="L76" si="151">K76/K77</f>
        <v>2</v>
      </c>
      <c r="M76" s="123">
        <v>1</v>
      </c>
      <c r="N76" s="273">
        <f t="shared" ref="N76" si="152">M76/M77</f>
        <v>1</v>
      </c>
      <c r="O76" s="132">
        <v>0</v>
      </c>
      <c r="P76" s="273">
        <v>0</v>
      </c>
      <c r="Q76" s="140">
        <v>0</v>
      </c>
      <c r="R76" s="273">
        <v>0</v>
      </c>
    </row>
    <row r="77" spans="1:18" ht="33.75" customHeight="1" x14ac:dyDescent="0.25">
      <c r="A77" s="290"/>
      <c r="B77" s="121" t="s">
        <v>162</v>
      </c>
      <c r="C77" s="127">
        <f>[1]detallado!B684</f>
        <v>1</v>
      </c>
      <c r="D77" s="281"/>
      <c r="E77" s="127">
        <v>3</v>
      </c>
      <c r="F77" s="281"/>
      <c r="G77" s="127">
        <v>5</v>
      </c>
      <c r="H77" s="281"/>
      <c r="I77" s="127">
        <v>1</v>
      </c>
      <c r="J77" s="281"/>
      <c r="K77" s="127">
        <v>1</v>
      </c>
      <c r="L77" s="281"/>
      <c r="M77" s="123">
        <v>1</v>
      </c>
      <c r="N77" s="273"/>
      <c r="O77" s="132">
        <v>0</v>
      </c>
      <c r="P77" s="273"/>
      <c r="Q77" s="140">
        <v>0</v>
      </c>
      <c r="R77" s="273"/>
    </row>
    <row r="78" spans="1:18" ht="56.25" x14ac:dyDescent="0.25">
      <c r="A78" s="290" t="s">
        <v>166</v>
      </c>
      <c r="B78" s="121" t="s">
        <v>167</v>
      </c>
      <c r="C78" s="128">
        <f>[1]detallado!B382</f>
        <v>1037</v>
      </c>
      <c r="D78" s="278">
        <f t="shared" ref="D78" si="153">C78/C79</f>
        <v>0.98574144486692017</v>
      </c>
      <c r="E78" s="128">
        <v>1009</v>
      </c>
      <c r="F78" s="278">
        <f t="shared" ref="F78" si="154">E78/E79</f>
        <v>0.97206165703275527</v>
      </c>
      <c r="G78" s="128">
        <v>917</v>
      </c>
      <c r="H78" s="278">
        <f t="shared" ref="H78" si="155">G78/G79</f>
        <v>0.96526315789473682</v>
      </c>
      <c r="I78" s="128">
        <v>310</v>
      </c>
      <c r="J78" s="278">
        <f t="shared" ref="J78" si="156">I78/I79</f>
        <v>0.97791798107255523</v>
      </c>
      <c r="K78" s="128">
        <v>577</v>
      </c>
      <c r="L78" s="278">
        <f t="shared" ref="L78" si="157">K78/K79</f>
        <v>0.99140893470790381</v>
      </c>
      <c r="M78" s="124">
        <v>838</v>
      </c>
      <c r="N78" s="274">
        <f t="shared" ref="N78" si="158">M78/M79</f>
        <v>1</v>
      </c>
      <c r="O78" s="133">
        <v>528</v>
      </c>
      <c r="P78" s="274">
        <f t="shared" ref="P78" si="159">O78/O79</f>
        <v>0.99622641509433962</v>
      </c>
      <c r="Q78" s="129">
        <v>585</v>
      </c>
      <c r="R78" s="274">
        <f t="shared" ref="R78" si="160">Q78/Q79</f>
        <v>0.97176079734219267</v>
      </c>
    </row>
    <row r="79" spans="1:18" ht="32.25" customHeight="1" x14ac:dyDescent="0.25">
      <c r="A79" s="290"/>
      <c r="B79" s="121" t="s">
        <v>168</v>
      </c>
      <c r="C79" s="128">
        <f>[1]detallado!B383</f>
        <v>1052</v>
      </c>
      <c r="D79" s="279"/>
      <c r="E79" s="128">
        <v>1038</v>
      </c>
      <c r="F79" s="279"/>
      <c r="G79" s="128">
        <v>950</v>
      </c>
      <c r="H79" s="279"/>
      <c r="I79" s="128">
        <v>317</v>
      </c>
      <c r="J79" s="279"/>
      <c r="K79" s="128">
        <v>582</v>
      </c>
      <c r="L79" s="279"/>
      <c r="M79" s="124">
        <v>838</v>
      </c>
      <c r="N79" s="274"/>
      <c r="O79" s="133">
        <v>530</v>
      </c>
      <c r="P79" s="274"/>
      <c r="Q79" s="129">
        <v>602</v>
      </c>
      <c r="R79" s="274"/>
    </row>
    <row r="80" spans="1:18" ht="45" x14ac:dyDescent="0.25">
      <c r="A80" s="290" t="s">
        <v>169</v>
      </c>
      <c r="B80" s="121" t="s">
        <v>170</v>
      </c>
      <c r="C80" s="128">
        <f>[1]detallado!B385</f>
        <v>1032</v>
      </c>
      <c r="D80" s="278">
        <f t="shared" ref="D80" si="161">C80/C81</f>
        <v>0.98098859315589348</v>
      </c>
      <c r="E80" s="128">
        <v>1008</v>
      </c>
      <c r="F80" s="278">
        <f t="shared" ref="F80" si="162">E80/E81</f>
        <v>0.97109826589595372</v>
      </c>
      <c r="G80" s="128">
        <v>928</v>
      </c>
      <c r="H80" s="278">
        <f t="shared" ref="H80" si="163">G80/G81</f>
        <v>0.97684210526315784</v>
      </c>
      <c r="I80" s="128">
        <v>309</v>
      </c>
      <c r="J80" s="278">
        <f t="shared" ref="J80" si="164">I80/I81</f>
        <v>0.97476340694006314</v>
      </c>
      <c r="K80" s="128">
        <v>578</v>
      </c>
      <c r="L80" s="278">
        <f t="shared" ref="L80" si="165">K80/K81</f>
        <v>0.99312714776632305</v>
      </c>
      <c r="M80" s="124">
        <v>838</v>
      </c>
      <c r="N80" s="274">
        <f t="shared" ref="N80" si="166">M80/M81</f>
        <v>1</v>
      </c>
      <c r="O80" s="133">
        <v>528</v>
      </c>
      <c r="P80" s="274">
        <f t="shared" ref="P80" si="167">O80/O81</f>
        <v>0.99622641509433962</v>
      </c>
      <c r="Q80" s="129">
        <v>599</v>
      </c>
      <c r="R80" s="274">
        <f t="shared" ref="R80" si="168">Q80/Q81</f>
        <v>0.99501661129568109</v>
      </c>
    </row>
    <row r="81" spans="1:18" ht="22.5" x14ac:dyDescent="0.25">
      <c r="A81" s="290"/>
      <c r="B81" s="121" t="s">
        <v>168</v>
      </c>
      <c r="C81" s="128">
        <f>[1]detallado!B386</f>
        <v>1052</v>
      </c>
      <c r="D81" s="279"/>
      <c r="E81" s="128">
        <v>1038</v>
      </c>
      <c r="F81" s="279"/>
      <c r="G81" s="128">
        <v>950</v>
      </c>
      <c r="H81" s="279"/>
      <c r="I81" s="128">
        <v>317</v>
      </c>
      <c r="J81" s="279"/>
      <c r="K81" s="128">
        <v>582</v>
      </c>
      <c r="L81" s="279"/>
      <c r="M81" s="124">
        <v>838</v>
      </c>
      <c r="N81" s="274"/>
      <c r="O81" s="133">
        <v>530</v>
      </c>
      <c r="P81" s="274"/>
      <c r="Q81" s="129">
        <v>602</v>
      </c>
      <c r="R81" s="274"/>
    </row>
    <row r="82" spans="1:18" ht="17.25" customHeight="1" x14ac:dyDescent="0.25">
      <c r="A82" s="292" t="s">
        <v>495</v>
      </c>
      <c r="B82" s="292"/>
      <c r="C82" s="292"/>
      <c r="D82" s="292"/>
      <c r="E82" s="292"/>
      <c r="F82" s="292"/>
      <c r="G82" s="292"/>
      <c r="H82" s="292"/>
    </row>
    <row r="85" spans="1:18" x14ac:dyDescent="0.25">
      <c r="A85" s="119" t="s">
        <v>488</v>
      </c>
      <c r="B85" s="119" t="s">
        <v>489</v>
      </c>
      <c r="C85" s="293" t="s">
        <v>490</v>
      </c>
      <c r="D85" s="293"/>
    </row>
    <row r="86" spans="1:18" ht="63" customHeight="1" x14ac:dyDescent="0.25">
      <c r="A86" s="120" t="s">
        <v>493</v>
      </c>
      <c r="B86" s="120" t="s">
        <v>494</v>
      </c>
      <c r="C86" s="276"/>
      <c r="D86" s="276"/>
    </row>
    <row r="87" spans="1:18" ht="63" customHeight="1" x14ac:dyDescent="0.25">
      <c r="A87" s="120" t="s">
        <v>491</v>
      </c>
      <c r="B87" s="120" t="s">
        <v>492</v>
      </c>
      <c r="C87" s="276"/>
      <c r="D87" s="276"/>
    </row>
  </sheetData>
  <mergeCells count="365">
    <mergeCell ref="P74:P75"/>
    <mergeCell ref="P76:P77"/>
    <mergeCell ref="P78:P79"/>
    <mergeCell ref="P80:P81"/>
    <mergeCell ref="P56:P57"/>
    <mergeCell ref="P58:P59"/>
    <mergeCell ref="P60:P61"/>
    <mergeCell ref="P62:P63"/>
    <mergeCell ref="P64:P65"/>
    <mergeCell ref="P66:P67"/>
    <mergeCell ref="P68:P69"/>
    <mergeCell ref="P70:P71"/>
    <mergeCell ref="P72:P73"/>
    <mergeCell ref="P38:P39"/>
    <mergeCell ref="P40:P41"/>
    <mergeCell ref="P42:P43"/>
    <mergeCell ref="P44:P45"/>
    <mergeCell ref="P46:P47"/>
    <mergeCell ref="P48:P49"/>
    <mergeCell ref="P50:P51"/>
    <mergeCell ref="P52:P53"/>
    <mergeCell ref="P54:P55"/>
    <mergeCell ref="P20:P21"/>
    <mergeCell ref="P22:P23"/>
    <mergeCell ref="P24:P25"/>
    <mergeCell ref="P26:P27"/>
    <mergeCell ref="P28:P29"/>
    <mergeCell ref="P30:P31"/>
    <mergeCell ref="P32:P33"/>
    <mergeCell ref="P34:P35"/>
    <mergeCell ref="P36:P37"/>
    <mergeCell ref="P2:P3"/>
    <mergeCell ref="P4:P5"/>
    <mergeCell ref="P6:P7"/>
    <mergeCell ref="P8:P9"/>
    <mergeCell ref="P10:P11"/>
    <mergeCell ref="P12:P13"/>
    <mergeCell ref="P14:P15"/>
    <mergeCell ref="P16:P17"/>
    <mergeCell ref="P18:P19"/>
    <mergeCell ref="N74:N75"/>
    <mergeCell ref="N76:N77"/>
    <mergeCell ref="N78:N79"/>
    <mergeCell ref="N80:N81"/>
    <mergeCell ref="N56:N57"/>
    <mergeCell ref="N58:N59"/>
    <mergeCell ref="N60:N61"/>
    <mergeCell ref="N62:N63"/>
    <mergeCell ref="N64:N65"/>
    <mergeCell ref="N66:N67"/>
    <mergeCell ref="N68:N69"/>
    <mergeCell ref="N70:N71"/>
    <mergeCell ref="N72:N73"/>
    <mergeCell ref="N20:N21"/>
    <mergeCell ref="N22:N23"/>
    <mergeCell ref="N24:N25"/>
    <mergeCell ref="N26:N27"/>
    <mergeCell ref="N28:N29"/>
    <mergeCell ref="N30:N31"/>
    <mergeCell ref="N32:N33"/>
    <mergeCell ref="N34:N35"/>
    <mergeCell ref="N36:N37"/>
    <mergeCell ref="N2:N3"/>
    <mergeCell ref="N4:N5"/>
    <mergeCell ref="N6:N7"/>
    <mergeCell ref="N8:N9"/>
    <mergeCell ref="N10:N11"/>
    <mergeCell ref="N12:N13"/>
    <mergeCell ref="N14:N15"/>
    <mergeCell ref="N16:N17"/>
    <mergeCell ref="N18:N19"/>
    <mergeCell ref="J74:J75"/>
    <mergeCell ref="J76:J77"/>
    <mergeCell ref="J78:J79"/>
    <mergeCell ref="J80:J81"/>
    <mergeCell ref="J56:J57"/>
    <mergeCell ref="J58:J59"/>
    <mergeCell ref="J60:J61"/>
    <mergeCell ref="J62:J63"/>
    <mergeCell ref="J64:J65"/>
    <mergeCell ref="J66:J67"/>
    <mergeCell ref="J68:J69"/>
    <mergeCell ref="J70:J71"/>
    <mergeCell ref="J72:J73"/>
    <mergeCell ref="J52:J53"/>
    <mergeCell ref="J54:J55"/>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2:J3"/>
    <mergeCell ref="J4:J5"/>
    <mergeCell ref="J6:J7"/>
    <mergeCell ref="J8:J9"/>
    <mergeCell ref="J10:J11"/>
    <mergeCell ref="J12:J13"/>
    <mergeCell ref="J14:J15"/>
    <mergeCell ref="J16:J17"/>
    <mergeCell ref="J18:J19"/>
    <mergeCell ref="A82:H82"/>
    <mergeCell ref="C85:D85"/>
    <mergeCell ref="C87:D87"/>
    <mergeCell ref="C86:D86"/>
    <mergeCell ref="F80:F81"/>
    <mergeCell ref="H80:H81"/>
    <mergeCell ref="F74:F75"/>
    <mergeCell ref="H74:H75"/>
    <mergeCell ref="F76:F77"/>
    <mergeCell ref="H76:H77"/>
    <mergeCell ref="F78:F79"/>
    <mergeCell ref="H78:H79"/>
    <mergeCell ref="A80:A81"/>
    <mergeCell ref="D80:D81"/>
    <mergeCell ref="A74:A75"/>
    <mergeCell ref="D74:D75"/>
    <mergeCell ref="A76:A77"/>
    <mergeCell ref="D76:D77"/>
    <mergeCell ref="A78:A79"/>
    <mergeCell ref="D78:D79"/>
    <mergeCell ref="F68:F69"/>
    <mergeCell ref="H68:H69"/>
    <mergeCell ref="F70:F71"/>
    <mergeCell ref="H70:H71"/>
    <mergeCell ref="F72:F73"/>
    <mergeCell ref="H72:H73"/>
    <mergeCell ref="F62:F63"/>
    <mergeCell ref="H62:H63"/>
    <mergeCell ref="F64:F65"/>
    <mergeCell ref="H64:H65"/>
    <mergeCell ref="F66:F67"/>
    <mergeCell ref="H66:H67"/>
    <mergeCell ref="F56:F57"/>
    <mergeCell ref="H56:H57"/>
    <mergeCell ref="F58:F59"/>
    <mergeCell ref="H58:H59"/>
    <mergeCell ref="F60:F61"/>
    <mergeCell ref="H60:H61"/>
    <mergeCell ref="F50:F51"/>
    <mergeCell ref="H50:H51"/>
    <mergeCell ref="F52:F53"/>
    <mergeCell ref="H52:H53"/>
    <mergeCell ref="F54:F55"/>
    <mergeCell ref="H54:H55"/>
    <mergeCell ref="F44:F45"/>
    <mergeCell ref="H44:H45"/>
    <mergeCell ref="F46:F47"/>
    <mergeCell ref="H46:H47"/>
    <mergeCell ref="F48:F49"/>
    <mergeCell ref="H48:H49"/>
    <mergeCell ref="F38:F39"/>
    <mergeCell ref="H38:H39"/>
    <mergeCell ref="F40:F41"/>
    <mergeCell ref="H40:H41"/>
    <mergeCell ref="F42:F43"/>
    <mergeCell ref="H42:H43"/>
    <mergeCell ref="F32:F33"/>
    <mergeCell ref="H32:H33"/>
    <mergeCell ref="F34:F35"/>
    <mergeCell ref="H34:H35"/>
    <mergeCell ref="F36:F37"/>
    <mergeCell ref="H36:H37"/>
    <mergeCell ref="F26:F27"/>
    <mergeCell ref="H26:H27"/>
    <mergeCell ref="F28:F29"/>
    <mergeCell ref="H28:H29"/>
    <mergeCell ref="F30:F31"/>
    <mergeCell ref="H30:H31"/>
    <mergeCell ref="F20:F21"/>
    <mergeCell ref="H20:H21"/>
    <mergeCell ref="F22:F23"/>
    <mergeCell ref="H22:H23"/>
    <mergeCell ref="F24:F25"/>
    <mergeCell ref="H24:H25"/>
    <mergeCell ref="F14:F15"/>
    <mergeCell ref="H14:H15"/>
    <mergeCell ref="F16:F17"/>
    <mergeCell ref="H16:H17"/>
    <mergeCell ref="F18:F19"/>
    <mergeCell ref="H18:H19"/>
    <mergeCell ref="F8:F9"/>
    <mergeCell ref="H8:H9"/>
    <mergeCell ref="F10:F11"/>
    <mergeCell ref="H10:H11"/>
    <mergeCell ref="F12:F13"/>
    <mergeCell ref="H12:H13"/>
    <mergeCell ref="A6:A7"/>
    <mergeCell ref="D6:D7"/>
    <mergeCell ref="F2:F3"/>
    <mergeCell ref="H2:H3"/>
    <mergeCell ref="F4:F5"/>
    <mergeCell ref="H4:H5"/>
    <mergeCell ref="F6:F7"/>
    <mergeCell ref="H6:H7"/>
    <mergeCell ref="A12:A13"/>
    <mergeCell ref="D12:D13"/>
    <mergeCell ref="A1:B1"/>
    <mergeCell ref="A2:A3"/>
    <mergeCell ref="D2:D3"/>
    <mergeCell ref="A4:A5"/>
    <mergeCell ref="D4:D5"/>
    <mergeCell ref="A8:A9"/>
    <mergeCell ref="D8:D9"/>
    <mergeCell ref="A10:A11"/>
    <mergeCell ref="D10:D11"/>
    <mergeCell ref="A14:A15"/>
    <mergeCell ref="D14:D15"/>
    <mergeCell ref="A16:A17"/>
    <mergeCell ref="D16:D17"/>
    <mergeCell ref="A18:A19"/>
    <mergeCell ref="D18:D19"/>
    <mergeCell ref="A20:A21"/>
    <mergeCell ref="D20:D21"/>
    <mergeCell ref="A22:A23"/>
    <mergeCell ref="D22:D23"/>
    <mergeCell ref="A24:A25"/>
    <mergeCell ref="D24:D25"/>
    <mergeCell ref="A26:A27"/>
    <mergeCell ref="D26:D27"/>
    <mergeCell ref="A28:A29"/>
    <mergeCell ref="D28:D29"/>
    <mergeCell ref="A30:A31"/>
    <mergeCell ref="D30:D31"/>
    <mergeCell ref="A32:A33"/>
    <mergeCell ref="D32:D33"/>
    <mergeCell ref="A34:A35"/>
    <mergeCell ref="D34:D35"/>
    <mergeCell ref="A36:A37"/>
    <mergeCell ref="D36:D37"/>
    <mergeCell ref="A38:A39"/>
    <mergeCell ref="D38:D39"/>
    <mergeCell ref="A40:A41"/>
    <mergeCell ref="D40:D41"/>
    <mergeCell ref="A42:A43"/>
    <mergeCell ref="D42:D43"/>
    <mergeCell ref="A44:A45"/>
    <mergeCell ref="D44:D45"/>
    <mergeCell ref="A46:A47"/>
    <mergeCell ref="D46:D47"/>
    <mergeCell ref="A48:A49"/>
    <mergeCell ref="D48:D49"/>
    <mergeCell ref="A50:A51"/>
    <mergeCell ref="D50:D51"/>
    <mergeCell ref="A52:A53"/>
    <mergeCell ref="D52:D53"/>
    <mergeCell ref="A54:A55"/>
    <mergeCell ref="D54:D55"/>
    <mergeCell ref="A56:A57"/>
    <mergeCell ref="D56:D57"/>
    <mergeCell ref="A58:A59"/>
    <mergeCell ref="D58:D59"/>
    <mergeCell ref="A60:A61"/>
    <mergeCell ref="D60:D61"/>
    <mergeCell ref="A62:A63"/>
    <mergeCell ref="D62:D63"/>
    <mergeCell ref="A64:A65"/>
    <mergeCell ref="D64:D65"/>
    <mergeCell ref="A66:A67"/>
    <mergeCell ref="D66:D67"/>
    <mergeCell ref="A68:A69"/>
    <mergeCell ref="D68:D69"/>
    <mergeCell ref="A70:A71"/>
    <mergeCell ref="D70:D71"/>
    <mergeCell ref="A72:A73"/>
    <mergeCell ref="D72:D73"/>
    <mergeCell ref="L2:L3"/>
    <mergeCell ref="L4:L5"/>
    <mergeCell ref="L6:L7"/>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80:L81"/>
    <mergeCell ref="L56:L57"/>
    <mergeCell ref="L58:L59"/>
    <mergeCell ref="L60:L61"/>
    <mergeCell ref="L62:L63"/>
    <mergeCell ref="L64:L65"/>
    <mergeCell ref="L66:L67"/>
    <mergeCell ref="L68:L69"/>
    <mergeCell ref="L70:L71"/>
    <mergeCell ref="L72:L73"/>
    <mergeCell ref="L74:L75"/>
    <mergeCell ref="L76:L77"/>
    <mergeCell ref="L78:L79"/>
    <mergeCell ref="N52:N53"/>
    <mergeCell ref="N54:N55"/>
    <mergeCell ref="L52:L53"/>
    <mergeCell ref="L54:L55"/>
    <mergeCell ref="L38:L39"/>
    <mergeCell ref="L40:L41"/>
    <mergeCell ref="L42:L43"/>
    <mergeCell ref="L44:L45"/>
    <mergeCell ref="L46:L47"/>
    <mergeCell ref="L48:L49"/>
    <mergeCell ref="L50:L51"/>
    <mergeCell ref="N38:N39"/>
    <mergeCell ref="N40:N41"/>
    <mergeCell ref="N42:N43"/>
    <mergeCell ref="N44:N45"/>
    <mergeCell ref="N46:N47"/>
    <mergeCell ref="N48:N49"/>
    <mergeCell ref="N50:N51"/>
    <mergeCell ref="R2:R3"/>
    <mergeCell ref="R4:R5"/>
    <mergeCell ref="R6:R7"/>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40:R41"/>
    <mergeCell ref="R42:R43"/>
    <mergeCell ref="R44:R45"/>
    <mergeCell ref="R46:R47"/>
    <mergeCell ref="R48:R49"/>
    <mergeCell ref="R50:R51"/>
    <mergeCell ref="R52:R53"/>
    <mergeCell ref="R54:R55"/>
    <mergeCell ref="R74:R75"/>
    <mergeCell ref="R76:R77"/>
    <mergeCell ref="R78:R79"/>
    <mergeCell ref="R80:R81"/>
    <mergeCell ref="R56:R57"/>
    <mergeCell ref="R58:R59"/>
    <mergeCell ref="R60:R61"/>
    <mergeCell ref="R62:R63"/>
    <mergeCell ref="R64:R65"/>
    <mergeCell ref="R66:R67"/>
    <mergeCell ref="R68:R69"/>
    <mergeCell ref="R70:R71"/>
    <mergeCell ref="R72:R73"/>
  </mergeCells>
  <pageMargins left="0.7" right="0.17" top="0.56000000000000005" bottom="0.5" header="0.3" footer="0.3"/>
  <pageSetup paperSize="9" scale="71" orientation="landscape" r:id="rId1"/>
  <rowBreaks count="5" manualBreakCount="5">
    <brk id="15" max="16383" man="1"/>
    <brk id="31" max="16383" man="1"/>
    <brk id="49" max="16383" man="1"/>
    <brk id="65" max="11" man="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F19E-8E71-4B98-B670-058A645D1F07}">
  <dimension ref="A1:H90"/>
  <sheetViews>
    <sheetView topLeftCell="A82" zoomScaleNormal="100" workbookViewId="0">
      <selection activeCell="H86" sqref="H86"/>
    </sheetView>
  </sheetViews>
  <sheetFormatPr baseColWidth="10" defaultRowHeight="15" x14ac:dyDescent="0.25"/>
  <cols>
    <col min="1" max="1" width="46.85546875" style="92" customWidth="1"/>
    <col min="2" max="2" width="44.140625" style="92" customWidth="1"/>
    <col min="3" max="3" width="14.42578125" style="92" customWidth="1"/>
    <col min="4" max="4" width="12.7109375" style="92" customWidth="1"/>
    <col min="5" max="16384" width="11.42578125" style="92"/>
  </cols>
  <sheetData>
    <row r="1" spans="1:8" ht="21" customHeight="1" x14ac:dyDescent="0.35">
      <c r="A1" s="298" t="s">
        <v>485</v>
      </c>
      <c r="B1" s="299"/>
      <c r="C1" s="299"/>
      <c r="D1" s="300"/>
      <c r="E1" s="125"/>
      <c r="F1" s="125"/>
      <c r="G1" s="125"/>
      <c r="H1" s="125"/>
    </row>
    <row r="2" spans="1:8" ht="15" customHeight="1" x14ac:dyDescent="0.25">
      <c r="A2" s="301" t="s">
        <v>486</v>
      </c>
      <c r="B2" s="302"/>
      <c r="C2" s="302"/>
      <c r="D2" s="303"/>
    </row>
    <row r="3" spans="1:8" ht="15" customHeight="1" x14ac:dyDescent="0.25">
      <c r="A3" s="301" t="s">
        <v>487</v>
      </c>
      <c r="B3" s="302"/>
      <c r="C3" s="302"/>
      <c r="D3" s="303"/>
    </row>
    <row r="4" spans="1:8" ht="15" customHeight="1" thickBot="1" x14ac:dyDescent="0.3">
      <c r="A4" s="304" t="s">
        <v>502</v>
      </c>
      <c r="B4" s="305"/>
      <c r="C4" s="305"/>
      <c r="D4" s="306"/>
    </row>
    <row r="5" spans="1:8" ht="30" x14ac:dyDescent="0.25">
      <c r="A5" s="294" t="s">
        <v>0</v>
      </c>
      <c r="B5" s="294"/>
      <c r="C5" s="117">
        <v>44044</v>
      </c>
      <c r="D5" s="117" t="s">
        <v>501</v>
      </c>
    </row>
    <row r="6" spans="1:8" x14ac:dyDescent="0.25">
      <c r="A6" s="290" t="s">
        <v>10</v>
      </c>
      <c r="B6" s="135" t="s">
        <v>11</v>
      </c>
      <c r="C6" s="138">
        <v>69</v>
      </c>
      <c r="D6" s="274">
        <f>(C6/C7)</f>
        <v>0.69696969696969702</v>
      </c>
    </row>
    <row r="7" spans="1:8" x14ac:dyDescent="0.25">
      <c r="A7" s="290"/>
      <c r="B7" s="135" t="s">
        <v>12</v>
      </c>
      <c r="C7" s="138">
        <v>99</v>
      </c>
      <c r="D7" s="274"/>
    </row>
    <row r="8" spans="1:8" ht="51.75" customHeight="1" x14ac:dyDescent="0.25">
      <c r="A8" s="290" t="s">
        <v>13</v>
      </c>
      <c r="B8" s="135" t="s">
        <v>14</v>
      </c>
      <c r="C8" s="138">
        <v>2</v>
      </c>
      <c r="D8" s="273">
        <f>(C8/C9)*1000</f>
        <v>19.801980198019802</v>
      </c>
    </row>
    <row r="9" spans="1:8" ht="33.75" x14ac:dyDescent="0.25">
      <c r="A9" s="290"/>
      <c r="B9" s="135" t="s">
        <v>15</v>
      </c>
      <c r="C9" s="138">
        <v>101</v>
      </c>
      <c r="D9" s="273"/>
    </row>
    <row r="10" spans="1:8" ht="19.5" customHeight="1" x14ac:dyDescent="0.25">
      <c r="A10" s="290" t="s">
        <v>16</v>
      </c>
      <c r="B10" s="135" t="s">
        <v>17</v>
      </c>
      <c r="C10" s="129">
        <v>4</v>
      </c>
      <c r="D10" s="276">
        <v>0</v>
      </c>
    </row>
    <row r="11" spans="1:8" ht="24.75" customHeight="1" x14ac:dyDescent="0.25">
      <c r="A11" s="290"/>
      <c r="B11" s="135" t="s">
        <v>18</v>
      </c>
      <c r="C11" s="129">
        <v>0</v>
      </c>
      <c r="D11" s="276"/>
    </row>
    <row r="12" spans="1:8" ht="27" customHeight="1" x14ac:dyDescent="0.25">
      <c r="A12" s="290" t="s">
        <v>19</v>
      </c>
      <c r="B12" s="135" t="s">
        <v>20</v>
      </c>
      <c r="C12" s="138">
        <v>99</v>
      </c>
      <c r="D12" s="277">
        <f>(C12/C13)</f>
        <v>1</v>
      </c>
    </row>
    <row r="13" spans="1:8" x14ac:dyDescent="0.25">
      <c r="A13" s="290"/>
      <c r="B13" s="135" t="s">
        <v>21</v>
      </c>
      <c r="C13" s="138">
        <v>99</v>
      </c>
      <c r="D13" s="277"/>
    </row>
    <row r="14" spans="1:8" ht="35.25" customHeight="1" x14ac:dyDescent="0.25">
      <c r="A14" s="290" t="s">
        <v>22</v>
      </c>
      <c r="B14" s="135" t="s">
        <v>23</v>
      </c>
      <c r="C14" s="137">
        <v>0</v>
      </c>
      <c r="D14" s="274">
        <v>0</v>
      </c>
    </row>
    <row r="15" spans="1:8" ht="32.25" customHeight="1" x14ac:dyDescent="0.25">
      <c r="A15" s="290"/>
      <c r="B15" s="135" t="s">
        <v>24</v>
      </c>
      <c r="C15" s="137">
        <v>2</v>
      </c>
      <c r="D15" s="274"/>
    </row>
    <row r="16" spans="1:8" ht="22.5" customHeight="1" x14ac:dyDescent="0.25">
      <c r="A16" s="290" t="s">
        <v>26</v>
      </c>
      <c r="B16" s="135" t="s">
        <v>27</v>
      </c>
      <c r="C16" s="137">
        <v>0</v>
      </c>
      <c r="D16" s="276">
        <v>0</v>
      </c>
    </row>
    <row r="17" spans="1:4" ht="22.5" x14ac:dyDescent="0.25">
      <c r="A17" s="290"/>
      <c r="B17" s="135" t="s">
        <v>28</v>
      </c>
      <c r="C17" s="137">
        <v>2</v>
      </c>
      <c r="D17" s="276"/>
    </row>
    <row r="18" spans="1:4" ht="22.5" customHeight="1" x14ac:dyDescent="0.25">
      <c r="A18" s="290" t="s">
        <v>30</v>
      </c>
      <c r="B18" s="135" t="s">
        <v>31</v>
      </c>
      <c r="C18" s="137">
        <v>0</v>
      </c>
      <c r="D18" s="276">
        <v>0</v>
      </c>
    </row>
    <row r="19" spans="1:4" ht="32.25" customHeight="1" x14ac:dyDescent="0.25">
      <c r="A19" s="290"/>
      <c r="B19" s="135" t="s">
        <v>32</v>
      </c>
      <c r="C19" s="137">
        <v>4</v>
      </c>
      <c r="D19" s="276"/>
    </row>
    <row r="20" spans="1:4" ht="32.25" customHeight="1" x14ac:dyDescent="0.25">
      <c r="A20" s="290" t="s">
        <v>33</v>
      </c>
      <c r="B20" s="135" t="s">
        <v>34</v>
      </c>
      <c r="C20" s="138">
        <v>190</v>
      </c>
      <c r="D20" s="277">
        <f t="shared" ref="D20" si="0">C20/C21</f>
        <v>1</v>
      </c>
    </row>
    <row r="21" spans="1:4" ht="32.25" customHeight="1" x14ac:dyDescent="0.25">
      <c r="A21" s="290"/>
      <c r="B21" s="135" t="s">
        <v>9</v>
      </c>
      <c r="C21" s="138">
        <v>190</v>
      </c>
      <c r="D21" s="277"/>
    </row>
    <row r="22" spans="1:4" ht="23.25" customHeight="1" x14ac:dyDescent="0.25">
      <c r="A22" s="290" t="s">
        <v>35</v>
      </c>
      <c r="B22" s="135" t="s">
        <v>36</v>
      </c>
      <c r="C22" s="138">
        <v>0</v>
      </c>
      <c r="D22" s="277">
        <v>0</v>
      </c>
    </row>
    <row r="23" spans="1:4" ht="23.25" customHeight="1" x14ac:dyDescent="0.25">
      <c r="A23" s="290"/>
      <c r="B23" s="135" t="s">
        <v>37</v>
      </c>
      <c r="C23" s="138">
        <v>0</v>
      </c>
      <c r="D23" s="277"/>
    </row>
    <row r="24" spans="1:4" ht="23.25" customHeight="1" x14ac:dyDescent="0.25">
      <c r="A24" s="290" t="s">
        <v>38</v>
      </c>
      <c r="B24" s="135" t="s">
        <v>39</v>
      </c>
      <c r="C24" s="138">
        <v>190</v>
      </c>
      <c r="D24" s="277">
        <f t="shared" ref="D24" si="1">C24/C25</f>
        <v>1</v>
      </c>
    </row>
    <row r="25" spans="1:4" ht="23.25" customHeight="1" x14ac:dyDescent="0.25">
      <c r="A25" s="290"/>
      <c r="B25" s="135" t="s">
        <v>40</v>
      </c>
      <c r="C25" s="138">
        <v>190</v>
      </c>
      <c r="D25" s="277"/>
    </row>
    <row r="26" spans="1:4" ht="23.25" customHeight="1" x14ac:dyDescent="0.25">
      <c r="A26" s="290" t="s">
        <v>42</v>
      </c>
      <c r="B26" s="135" t="s">
        <v>43</v>
      </c>
      <c r="C26" s="137">
        <v>1</v>
      </c>
      <c r="D26" s="277">
        <v>0</v>
      </c>
    </row>
    <row r="27" spans="1:4" ht="23.25" customHeight="1" x14ac:dyDescent="0.25">
      <c r="A27" s="290"/>
      <c r="B27" s="135" t="s">
        <v>44</v>
      </c>
      <c r="C27" s="137">
        <v>1</v>
      </c>
      <c r="D27" s="277"/>
    </row>
    <row r="28" spans="1:4" ht="25.5" customHeight="1" x14ac:dyDescent="0.25">
      <c r="A28" s="290" t="s">
        <v>55</v>
      </c>
      <c r="B28" s="135" t="s">
        <v>56</v>
      </c>
      <c r="C28" s="137">
        <v>8</v>
      </c>
      <c r="D28" s="274">
        <f t="shared" ref="D28" si="2">C28/C29</f>
        <v>9.3023255813953487E-2</v>
      </c>
    </row>
    <row r="29" spans="1:4" ht="19.5" customHeight="1" x14ac:dyDescent="0.25">
      <c r="A29" s="290"/>
      <c r="B29" s="135" t="s">
        <v>57</v>
      </c>
      <c r="C29" s="137">
        <v>86</v>
      </c>
      <c r="D29" s="274"/>
    </row>
    <row r="30" spans="1:4" ht="33.75" customHeight="1" x14ac:dyDescent="0.25">
      <c r="A30" s="290" t="s">
        <v>58</v>
      </c>
      <c r="B30" s="135" t="s">
        <v>59</v>
      </c>
      <c r="C30" s="137">
        <v>9</v>
      </c>
      <c r="D30" s="274">
        <f t="shared" ref="D30" si="3">C30/C31</f>
        <v>0.15254237288135594</v>
      </c>
    </row>
    <row r="31" spans="1:4" ht="21.75" customHeight="1" x14ac:dyDescent="0.25">
      <c r="A31" s="290"/>
      <c r="B31" s="135" t="s">
        <v>60</v>
      </c>
      <c r="C31" s="137">
        <v>59</v>
      </c>
      <c r="D31" s="274"/>
    </row>
    <row r="32" spans="1:4" ht="22.5" x14ac:dyDescent="0.25">
      <c r="A32" s="290" t="s">
        <v>82</v>
      </c>
      <c r="B32" s="135" t="s">
        <v>83</v>
      </c>
      <c r="C32" s="129">
        <v>5</v>
      </c>
      <c r="D32" s="273">
        <f>(C32/C33)*1000</f>
        <v>28.089887640449437</v>
      </c>
    </row>
    <row r="33" spans="1:4" ht="33.75" customHeight="1" x14ac:dyDescent="0.25">
      <c r="A33" s="290"/>
      <c r="B33" s="135" t="s">
        <v>84</v>
      </c>
      <c r="C33" s="130">
        <v>178</v>
      </c>
      <c r="D33" s="273"/>
    </row>
    <row r="34" spans="1:4" ht="44.25" customHeight="1" x14ac:dyDescent="0.25">
      <c r="A34" s="290" t="s">
        <v>85</v>
      </c>
      <c r="B34" s="135" t="s">
        <v>86</v>
      </c>
      <c r="C34" s="130">
        <v>4</v>
      </c>
      <c r="D34" s="273">
        <f>(C34/C35)*1000</f>
        <v>16.666666666666668</v>
      </c>
    </row>
    <row r="35" spans="1:4" ht="32.25" customHeight="1" x14ac:dyDescent="0.25">
      <c r="A35" s="290"/>
      <c r="B35" s="135" t="s">
        <v>87</v>
      </c>
      <c r="C35" s="130">
        <v>240</v>
      </c>
      <c r="D35" s="273"/>
    </row>
    <row r="36" spans="1:4" ht="22.5" x14ac:dyDescent="0.25">
      <c r="A36" s="290" t="s">
        <v>88</v>
      </c>
      <c r="B36" s="135" t="s">
        <v>89</v>
      </c>
      <c r="C36" s="130">
        <v>10</v>
      </c>
      <c r="D36" s="273">
        <f>(C36/C37)*1000</f>
        <v>43.668122270742359</v>
      </c>
    </row>
    <row r="37" spans="1:4" ht="22.5" x14ac:dyDescent="0.25">
      <c r="A37" s="290"/>
      <c r="B37" s="135" t="s">
        <v>90</v>
      </c>
      <c r="C37" s="130">
        <v>229</v>
      </c>
      <c r="D37" s="273"/>
    </row>
    <row r="38" spans="1:4" x14ac:dyDescent="0.25">
      <c r="A38" s="290" t="s">
        <v>91</v>
      </c>
      <c r="B38" s="135" t="s">
        <v>92</v>
      </c>
      <c r="C38" s="138">
        <v>0</v>
      </c>
      <c r="D38" s="277">
        <f t="shared" ref="D38" si="4">C38/C39</f>
        <v>0</v>
      </c>
    </row>
    <row r="39" spans="1:4" x14ac:dyDescent="0.25">
      <c r="A39" s="290"/>
      <c r="B39" s="135" t="s">
        <v>93</v>
      </c>
      <c r="C39" s="138">
        <v>99</v>
      </c>
      <c r="D39" s="277"/>
    </row>
    <row r="40" spans="1:4" x14ac:dyDescent="0.25">
      <c r="A40" s="290" t="s">
        <v>94</v>
      </c>
      <c r="B40" s="135" t="s">
        <v>95</v>
      </c>
      <c r="C40" s="138">
        <v>0</v>
      </c>
      <c r="D40" s="277">
        <f t="shared" ref="D40" si="5">C40/C41</f>
        <v>0</v>
      </c>
    </row>
    <row r="41" spans="1:4" x14ac:dyDescent="0.25">
      <c r="A41" s="290"/>
      <c r="B41" s="135" t="s">
        <v>93</v>
      </c>
      <c r="C41" s="138">
        <v>99</v>
      </c>
      <c r="D41" s="277"/>
    </row>
    <row r="42" spans="1:4" ht="21" customHeight="1" x14ac:dyDescent="0.25">
      <c r="A42" s="290" t="s">
        <v>96</v>
      </c>
      <c r="B42" s="135" t="s">
        <v>97</v>
      </c>
      <c r="C42" s="129">
        <v>0</v>
      </c>
      <c r="D42" s="273">
        <f>(C42/C43)*1000</f>
        <v>0</v>
      </c>
    </row>
    <row r="43" spans="1:4" ht="33" customHeight="1" x14ac:dyDescent="0.25">
      <c r="A43" s="290"/>
      <c r="B43" s="135" t="s">
        <v>98</v>
      </c>
      <c r="C43" s="130">
        <v>2607</v>
      </c>
      <c r="D43" s="273"/>
    </row>
    <row r="44" spans="1:4" ht="24" customHeight="1" x14ac:dyDescent="0.25">
      <c r="A44" s="290" t="s">
        <v>99</v>
      </c>
      <c r="B44" s="135" t="s">
        <v>100</v>
      </c>
      <c r="C44" s="129">
        <v>0</v>
      </c>
      <c r="D44" s="273">
        <f>(C44/C45)*1000</f>
        <v>0</v>
      </c>
    </row>
    <row r="45" spans="1:4" ht="22.5" customHeight="1" x14ac:dyDescent="0.25">
      <c r="A45" s="290"/>
      <c r="B45" s="135" t="s">
        <v>101</v>
      </c>
      <c r="C45" s="129">
        <v>751</v>
      </c>
      <c r="D45" s="273"/>
    </row>
    <row r="46" spans="1:4" ht="22.5" x14ac:dyDescent="0.25">
      <c r="A46" s="290" t="s">
        <v>102</v>
      </c>
      <c r="B46" s="135" t="s">
        <v>103</v>
      </c>
      <c r="C46" s="129">
        <v>0</v>
      </c>
      <c r="D46" s="273">
        <v>0</v>
      </c>
    </row>
    <row r="47" spans="1:4" ht="22.5" customHeight="1" x14ac:dyDescent="0.25">
      <c r="A47" s="290"/>
      <c r="B47" s="135" t="s">
        <v>104</v>
      </c>
      <c r="C47" s="129">
        <v>253</v>
      </c>
      <c r="D47" s="273"/>
    </row>
    <row r="48" spans="1:4" ht="33.75" x14ac:dyDescent="0.25">
      <c r="A48" s="290" t="s">
        <v>106</v>
      </c>
      <c r="B48" s="135" t="s">
        <v>500</v>
      </c>
      <c r="C48" s="129">
        <v>0</v>
      </c>
      <c r="D48" s="276">
        <f t="shared" ref="D48" si="6">C48/C49</f>
        <v>0</v>
      </c>
    </row>
    <row r="49" spans="1:4" ht="40.5" customHeight="1" x14ac:dyDescent="0.25">
      <c r="A49" s="290"/>
      <c r="B49" s="135" t="s">
        <v>108</v>
      </c>
      <c r="C49" s="129">
        <v>671</v>
      </c>
      <c r="D49" s="276"/>
    </row>
    <row r="50" spans="1:4" ht="32.25" customHeight="1" x14ac:dyDescent="0.25">
      <c r="A50" s="290" t="s">
        <v>109</v>
      </c>
      <c r="B50" s="135" t="s">
        <v>110</v>
      </c>
      <c r="C50" s="129">
        <v>0</v>
      </c>
      <c r="D50" s="274">
        <f t="shared" ref="D50" si="7">C50/C51</f>
        <v>0</v>
      </c>
    </row>
    <row r="51" spans="1:4" ht="20.25" customHeight="1" x14ac:dyDescent="0.25">
      <c r="A51" s="290"/>
      <c r="B51" s="135" t="s">
        <v>111</v>
      </c>
      <c r="C51" s="129">
        <v>483</v>
      </c>
      <c r="D51" s="274"/>
    </row>
    <row r="52" spans="1:4" ht="33.75" customHeight="1" x14ac:dyDescent="0.25">
      <c r="A52" s="290" t="s">
        <v>112</v>
      </c>
      <c r="B52" s="135" t="s">
        <v>113</v>
      </c>
      <c r="C52" s="129">
        <v>0</v>
      </c>
      <c r="D52" s="277">
        <f t="shared" ref="D52" si="8">C52/C53</f>
        <v>0</v>
      </c>
    </row>
    <row r="53" spans="1:4" ht="20.25" customHeight="1" x14ac:dyDescent="0.25">
      <c r="A53" s="290"/>
      <c r="B53" s="135" t="s">
        <v>114</v>
      </c>
      <c r="C53" s="129">
        <v>751</v>
      </c>
      <c r="D53" s="277"/>
    </row>
    <row r="54" spans="1:4" ht="27" customHeight="1" x14ac:dyDescent="0.25">
      <c r="A54" s="290" t="s">
        <v>115</v>
      </c>
      <c r="B54" s="135" t="s">
        <v>116</v>
      </c>
      <c r="C54" s="129">
        <v>3</v>
      </c>
      <c r="D54" s="273">
        <f>(C54/C55)*1000</f>
        <v>1.1507479861910241</v>
      </c>
    </row>
    <row r="55" spans="1:4" ht="22.5" x14ac:dyDescent="0.25">
      <c r="A55" s="290"/>
      <c r="B55" s="135" t="s">
        <v>117</v>
      </c>
      <c r="C55" s="137">
        <v>2607</v>
      </c>
      <c r="D55" s="273"/>
    </row>
    <row r="56" spans="1:4" ht="45" customHeight="1" x14ac:dyDescent="0.25">
      <c r="A56" s="290" t="s">
        <v>118</v>
      </c>
      <c r="B56" s="135" t="s">
        <v>119</v>
      </c>
      <c r="C56" s="129">
        <v>1</v>
      </c>
      <c r="D56" s="274">
        <f t="shared" ref="D56" si="9">C56/C57</f>
        <v>1.3315579227696406E-3</v>
      </c>
    </row>
    <row r="57" spans="1:4" ht="27" customHeight="1" x14ac:dyDescent="0.25">
      <c r="A57" s="290"/>
      <c r="B57" s="135" t="s">
        <v>120</v>
      </c>
      <c r="C57" s="129">
        <v>751</v>
      </c>
      <c r="D57" s="274"/>
    </row>
    <row r="58" spans="1:4" ht="41.25" customHeight="1" x14ac:dyDescent="0.25">
      <c r="A58" s="290" t="s">
        <v>121</v>
      </c>
      <c r="B58" s="135" t="s">
        <v>122</v>
      </c>
      <c r="C58" s="129">
        <v>3</v>
      </c>
      <c r="D58" s="273">
        <f>(C58/C59)*1000</f>
        <v>4.5662100456620998</v>
      </c>
    </row>
    <row r="59" spans="1:4" ht="34.5" customHeight="1" x14ac:dyDescent="0.25">
      <c r="A59" s="290"/>
      <c r="B59" s="135" t="s">
        <v>123</v>
      </c>
      <c r="C59" s="138">
        <v>657</v>
      </c>
      <c r="D59" s="273"/>
    </row>
    <row r="60" spans="1:4" ht="30" customHeight="1" x14ac:dyDescent="0.25">
      <c r="A60" s="290" t="s">
        <v>124</v>
      </c>
      <c r="B60" s="135" t="s">
        <v>125</v>
      </c>
      <c r="C60" s="138">
        <v>0</v>
      </c>
      <c r="D60" s="274">
        <v>0</v>
      </c>
    </row>
    <row r="61" spans="1:4" ht="23.25" customHeight="1" x14ac:dyDescent="0.25">
      <c r="A61" s="290"/>
      <c r="B61" s="135" t="s">
        <v>126</v>
      </c>
      <c r="C61" s="138">
        <v>0</v>
      </c>
      <c r="D61" s="274"/>
    </row>
    <row r="62" spans="1:4" ht="33.75" x14ac:dyDescent="0.25">
      <c r="A62" s="290" t="s">
        <v>133</v>
      </c>
      <c r="B62" s="135" t="s">
        <v>134</v>
      </c>
      <c r="C62" s="136">
        <v>202</v>
      </c>
      <c r="D62" s="275">
        <f t="shared" ref="D62" si="10">C62/C63</f>
        <v>3.8846153846153846</v>
      </c>
    </row>
    <row r="63" spans="1:4" ht="22.5" x14ac:dyDescent="0.25">
      <c r="A63" s="290"/>
      <c r="B63" s="135" t="s">
        <v>135</v>
      </c>
      <c r="C63" s="136">
        <v>52</v>
      </c>
      <c r="D63" s="275"/>
    </row>
    <row r="64" spans="1:4" ht="33.75" x14ac:dyDescent="0.25">
      <c r="A64" s="290" t="s">
        <v>136</v>
      </c>
      <c r="B64" s="135" t="s">
        <v>137</v>
      </c>
      <c r="C64" s="136">
        <v>4</v>
      </c>
      <c r="D64" s="275">
        <f>C64/C65</f>
        <v>2</v>
      </c>
    </row>
    <row r="65" spans="1:4" x14ac:dyDescent="0.25">
      <c r="A65" s="290"/>
      <c r="B65" s="135" t="s">
        <v>138</v>
      </c>
      <c r="C65" s="136">
        <v>2</v>
      </c>
      <c r="D65" s="275"/>
    </row>
    <row r="66" spans="1:4" ht="33.75" x14ac:dyDescent="0.25">
      <c r="A66" s="290" t="s">
        <v>139</v>
      </c>
      <c r="B66" s="135" t="s">
        <v>140</v>
      </c>
      <c r="C66" s="136">
        <v>7</v>
      </c>
      <c r="D66" s="275">
        <f t="shared" ref="D66" si="11">C66/C67</f>
        <v>2.3333333333333335</v>
      </c>
    </row>
    <row r="67" spans="1:4" ht="22.5" x14ac:dyDescent="0.25">
      <c r="A67" s="290"/>
      <c r="B67" s="135" t="s">
        <v>141</v>
      </c>
      <c r="C67" s="136">
        <v>3</v>
      </c>
      <c r="D67" s="275"/>
    </row>
    <row r="68" spans="1:4" ht="33.75" x14ac:dyDescent="0.25">
      <c r="A68" s="290" t="s">
        <v>142</v>
      </c>
      <c r="B68" s="135" t="s">
        <v>143</v>
      </c>
      <c r="C68" s="136">
        <v>53</v>
      </c>
      <c r="D68" s="275">
        <f t="shared" ref="D68" si="12">C68/C69</f>
        <v>3.3125</v>
      </c>
    </row>
    <row r="69" spans="1:4" ht="24.75" customHeight="1" x14ac:dyDescent="0.25">
      <c r="A69" s="290"/>
      <c r="B69" s="135" t="s">
        <v>144</v>
      </c>
      <c r="C69" s="136">
        <v>16</v>
      </c>
      <c r="D69" s="275"/>
    </row>
    <row r="70" spans="1:4" ht="33.75" x14ac:dyDescent="0.25">
      <c r="A70" s="290" t="s">
        <v>145</v>
      </c>
      <c r="B70" s="135" t="s">
        <v>146</v>
      </c>
      <c r="C70" s="136">
        <v>25</v>
      </c>
      <c r="D70" s="275">
        <f>+C70/C71</f>
        <v>3.125</v>
      </c>
    </row>
    <row r="71" spans="1:4" ht="22.5" x14ac:dyDescent="0.25">
      <c r="A71" s="290"/>
      <c r="B71" s="135" t="s">
        <v>147</v>
      </c>
      <c r="C71" s="138">
        <v>8</v>
      </c>
      <c r="D71" s="275"/>
    </row>
    <row r="72" spans="1:4" ht="33.75" x14ac:dyDescent="0.25">
      <c r="A72" s="290" t="s">
        <v>148</v>
      </c>
      <c r="B72" s="135" t="s">
        <v>149</v>
      </c>
      <c r="C72" s="129">
        <v>104</v>
      </c>
      <c r="D72" s="273">
        <f t="shared" ref="D72" si="13">C72/C73</f>
        <v>0.43881856540084391</v>
      </c>
    </row>
    <row r="73" spans="1:4" x14ac:dyDescent="0.25">
      <c r="A73" s="290"/>
      <c r="B73" s="135" t="s">
        <v>150</v>
      </c>
      <c r="C73" s="129">
        <v>237</v>
      </c>
      <c r="D73" s="273"/>
    </row>
    <row r="74" spans="1:4" ht="33.75" x14ac:dyDescent="0.25">
      <c r="A74" s="290" t="s">
        <v>151</v>
      </c>
      <c r="B74" s="135" t="s">
        <v>152</v>
      </c>
      <c r="C74" s="138">
        <v>0</v>
      </c>
      <c r="D74" s="276" t="s">
        <v>47</v>
      </c>
    </row>
    <row r="75" spans="1:4" x14ac:dyDescent="0.25">
      <c r="A75" s="290"/>
      <c r="B75" s="135" t="s">
        <v>153</v>
      </c>
      <c r="C75" s="138">
        <v>0</v>
      </c>
      <c r="D75" s="276"/>
    </row>
    <row r="76" spans="1:4" ht="33.75" x14ac:dyDescent="0.25">
      <c r="A76" s="290" t="s">
        <v>154</v>
      </c>
      <c r="B76" s="135" t="s">
        <v>155</v>
      </c>
      <c r="C76" s="137">
        <f>31.42*C77</f>
        <v>9048.9600000000009</v>
      </c>
      <c r="D76" s="273">
        <f t="shared" ref="D76" si="14">C76/C77</f>
        <v>31.42</v>
      </c>
    </row>
    <row r="77" spans="1:4" ht="31.5" customHeight="1" x14ac:dyDescent="0.25">
      <c r="A77" s="290"/>
      <c r="B77" s="135" t="s">
        <v>156</v>
      </c>
      <c r="C77" s="138">
        <v>288</v>
      </c>
      <c r="D77" s="273"/>
    </row>
    <row r="78" spans="1:4" ht="39.75" customHeight="1" x14ac:dyDescent="0.25">
      <c r="A78" s="290" t="s">
        <v>157</v>
      </c>
      <c r="B78" s="135" t="s">
        <v>158</v>
      </c>
      <c r="C78" s="138">
        <v>0</v>
      </c>
      <c r="D78" s="273">
        <v>0</v>
      </c>
    </row>
    <row r="79" spans="1:4" ht="27" customHeight="1" x14ac:dyDescent="0.25">
      <c r="A79" s="290"/>
      <c r="B79" s="135" t="s">
        <v>159</v>
      </c>
      <c r="C79" s="138">
        <v>0</v>
      </c>
      <c r="D79" s="273"/>
    </row>
    <row r="80" spans="1:4" ht="48" customHeight="1" x14ac:dyDescent="0.25">
      <c r="A80" s="290" t="s">
        <v>160</v>
      </c>
      <c r="B80" s="135" t="s">
        <v>161</v>
      </c>
      <c r="C80" s="137">
        <v>0</v>
      </c>
      <c r="D80" s="273">
        <v>0</v>
      </c>
    </row>
    <row r="81" spans="1:4" ht="30.75" customHeight="1" x14ac:dyDescent="0.25">
      <c r="A81" s="290"/>
      <c r="B81" s="135" t="s">
        <v>162</v>
      </c>
      <c r="C81" s="137">
        <v>0</v>
      </c>
      <c r="D81" s="273"/>
    </row>
    <row r="82" spans="1:4" ht="45" x14ac:dyDescent="0.25">
      <c r="A82" s="290" t="s">
        <v>166</v>
      </c>
      <c r="B82" s="135" t="s">
        <v>167</v>
      </c>
      <c r="C82" s="129">
        <v>585</v>
      </c>
      <c r="D82" s="274">
        <f t="shared" ref="D82" si="15">C82/C83</f>
        <v>0.97176079734219267</v>
      </c>
    </row>
    <row r="83" spans="1:4" ht="32.25" customHeight="1" x14ac:dyDescent="0.25">
      <c r="A83" s="290"/>
      <c r="B83" s="135" t="s">
        <v>168</v>
      </c>
      <c r="C83" s="129">
        <v>602</v>
      </c>
      <c r="D83" s="274"/>
    </row>
    <row r="84" spans="1:4" ht="33.75" x14ac:dyDescent="0.25">
      <c r="A84" s="290" t="s">
        <v>169</v>
      </c>
      <c r="B84" s="135" t="s">
        <v>170</v>
      </c>
      <c r="C84" s="129">
        <v>599</v>
      </c>
      <c r="D84" s="274">
        <f t="shared" ref="D84" si="16">C84/C85</f>
        <v>0.99501661129568109</v>
      </c>
    </row>
    <row r="85" spans="1:4" x14ac:dyDescent="0.25">
      <c r="A85" s="290"/>
      <c r="B85" s="135" t="s">
        <v>168</v>
      </c>
      <c r="C85" s="129">
        <v>602</v>
      </c>
      <c r="D85" s="274"/>
    </row>
    <row r="86" spans="1:4" ht="17.25" customHeight="1" x14ac:dyDescent="0.25">
      <c r="A86" s="292" t="s">
        <v>495</v>
      </c>
      <c r="B86" s="292"/>
    </row>
    <row r="88" spans="1:4" x14ac:dyDescent="0.25">
      <c r="A88" s="134" t="s">
        <v>488</v>
      </c>
      <c r="B88" s="134" t="s">
        <v>489</v>
      </c>
      <c r="C88" s="296" t="s">
        <v>490</v>
      </c>
      <c r="D88" s="297"/>
    </row>
    <row r="89" spans="1:4" ht="57" customHeight="1" x14ac:dyDescent="0.25">
      <c r="A89" s="120" t="s">
        <v>493</v>
      </c>
      <c r="B89" s="120" t="s">
        <v>494</v>
      </c>
      <c r="C89" s="295"/>
      <c r="D89" s="295"/>
    </row>
    <row r="90" spans="1:4" ht="49.5" customHeight="1" x14ac:dyDescent="0.25">
      <c r="A90" s="120" t="s">
        <v>491</v>
      </c>
      <c r="B90" s="120" t="s">
        <v>492</v>
      </c>
      <c r="C90" s="295"/>
      <c r="D90" s="295"/>
    </row>
  </sheetData>
  <mergeCells count="89">
    <mergeCell ref="C90:D90"/>
    <mergeCell ref="C88:D88"/>
    <mergeCell ref="A1:D1"/>
    <mergeCell ref="A2:D2"/>
    <mergeCell ref="A3:D3"/>
    <mergeCell ref="A4:D4"/>
    <mergeCell ref="C89:D89"/>
    <mergeCell ref="D84:D85"/>
    <mergeCell ref="A86:B86"/>
    <mergeCell ref="A84:A85"/>
    <mergeCell ref="D80:D81"/>
    <mergeCell ref="A82:A83"/>
    <mergeCell ref="D82:D83"/>
    <mergeCell ref="A80:A81"/>
    <mergeCell ref="D76:D77"/>
    <mergeCell ref="A78:A79"/>
    <mergeCell ref="D78:D79"/>
    <mergeCell ref="A76:A77"/>
    <mergeCell ref="D72:D73"/>
    <mergeCell ref="A74:A75"/>
    <mergeCell ref="D74:D75"/>
    <mergeCell ref="A72:A73"/>
    <mergeCell ref="D68:D69"/>
    <mergeCell ref="A70:A71"/>
    <mergeCell ref="D70:D71"/>
    <mergeCell ref="A68:A69"/>
    <mergeCell ref="D64:D65"/>
    <mergeCell ref="A66:A67"/>
    <mergeCell ref="D66:D67"/>
    <mergeCell ref="A64:A65"/>
    <mergeCell ref="D60:D61"/>
    <mergeCell ref="A62:A63"/>
    <mergeCell ref="D62:D63"/>
    <mergeCell ref="A60:A61"/>
    <mergeCell ref="D56:D57"/>
    <mergeCell ref="A58:A59"/>
    <mergeCell ref="D58:D59"/>
    <mergeCell ref="A56:A57"/>
    <mergeCell ref="D52:D53"/>
    <mergeCell ref="A54:A55"/>
    <mergeCell ref="D54:D55"/>
    <mergeCell ref="A52:A53"/>
    <mergeCell ref="D48:D49"/>
    <mergeCell ref="A50:A51"/>
    <mergeCell ref="D50:D51"/>
    <mergeCell ref="A48:A49"/>
    <mergeCell ref="D44:D45"/>
    <mergeCell ref="A46:A47"/>
    <mergeCell ref="D46:D47"/>
    <mergeCell ref="A44:A45"/>
    <mergeCell ref="D40:D41"/>
    <mergeCell ref="A42:A43"/>
    <mergeCell ref="D42:D43"/>
    <mergeCell ref="A40:A41"/>
    <mergeCell ref="D36:D37"/>
    <mergeCell ref="A38:A39"/>
    <mergeCell ref="D38:D39"/>
    <mergeCell ref="A36:A37"/>
    <mergeCell ref="D32:D33"/>
    <mergeCell ref="A34:A35"/>
    <mergeCell ref="D34:D35"/>
    <mergeCell ref="A32:A33"/>
    <mergeCell ref="D28:D29"/>
    <mergeCell ref="A30:A31"/>
    <mergeCell ref="D30:D31"/>
    <mergeCell ref="A28:A29"/>
    <mergeCell ref="D24:D25"/>
    <mergeCell ref="A26:A27"/>
    <mergeCell ref="D26:D27"/>
    <mergeCell ref="A24:A25"/>
    <mergeCell ref="D20:D21"/>
    <mergeCell ref="A22:A23"/>
    <mergeCell ref="D22:D23"/>
    <mergeCell ref="A20:A21"/>
    <mergeCell ref="D16:D17"/>
    <mergeCell ref="A18:A19"/>
    <mergeCell ref="D18:D19"/>
    <mergeCell ref="A16:A17"/>
    <mergeCell ref="A14:A15"/>
    <mergeCell ref="D14:D15"/>
    <mergeCell ref="A12:A13"/>
    <mergeCell ref="D8:D9"/>
    <mergeCell ref="A10:A11"/>
    <mergeCell ref="D10:D11"/>
    <mergeCell ref="D6:D7"/>
    <mergeCell ref="A8:A9"/>
    <mergeCell ref="A5:B5"/>
    <mergeCell ref="A6:A7"/>
    <mergeCell ref="D12:D13"/>
  </mergeCells>
  <pageMargins left="0.9" right="0.28000000000000003" top="0.53" bottom="0.6"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LOGO</vt:lpstr>
      <vt:lpstr>2017</vt:lpstr>
      <vt:lpstr>2017res</vt:lpstr>
      <vt:lpstr>2018</vt:lpstr>
      <vt:lpstr>2018-2019</vt:lpstr>
      <vt:lpstr>2020</vt: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NEY PATRICIA OROZCO QUIÑONEZ</cp:lastModifiedBy>
  <cp:lastPrinted>2020-09-08T16:32:13Z</cp:lastPrinted>
  <dcterms:created xsi:type="dcterms:W3CDTF">2016-08-09T17:10:50Z</dcterms:created>
  <dcterms:modified xsi:type="dcterms:W3CDTF">2020-09-21T23:05:03Z</dcterms:modified>
</cp:coreProperties>
</file>