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Control Interno\Desktop\HOSPITAL SAN JERONIMO 2022- YENIS\INFORMES DE CONTROL INTERNO 2022\INFORME SEMESTRAL ESTADO DE CONTROL INTERNO\"/>
    </mc:Choice>
  </mc:AlternateContent>
  <xr:revisionPtr revIDLastSave="0" documentId="13_ncr:1_{AB16268A-99D6-49AD-8EC3-9B5342710371}" xr6:coauthVersionLast="47" xr6:coauthVersionMax="47" xr10:uidLastSave="{00000000-0000-0000-0000-000000000000}"/>
  <bookViews>
    <workbookView xWindow="-120" yWindow="-120" windowWidth="20730" windowHeight="1116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0" i="6"/>
  <c r="H6" i="6"/>
  <c r="H11" i="6"/>
  <c r="H12" i="6"/>
  <c r="H27" i="6"/>
  <c r="H26" i="6"/>
  <c r="H15" i="6"/>
  <c r="H22" i="6"/>
  <c r="H14" i="6"/>
  <c r="H28" i="6"/>
  <c r="H7" i="6"/>
  <c r="H24" i="6"/>
  <c r="H9" i="6"/>
  <c r="H21" i="6"/>
  <c r="H37" i="6"/>
  <c r="H10" i="6"/>
  <c r="H42" i="6"/>
  <c r="H29" i="6"/>
  <c r="H13" i="6"/>
  <c r="H3" i="6"/>
  <c r="H19" i="6"/>
  <c r="H32" i="6"/>
  <c r="H45" i="6"/>
  <c r="H16" i="6"/>
  <c r="H31" i="6"/>
  <c r="H17" i="6"/>
  <c r="H44" i="6"/>
  <c r="H36" i="6"/>
  <c r="H18" i="6"/>
  <c r="H33" i="6"/>
  <c r="H8" i="6"/>
  <c r="H35" i="6"/>
  <c r="H40" i="6"/>
  <c r="H20" i="6"/>
  <c r="H23" i="6"/>
  <c r="H34" i="6"/>
  <c r="H4" i="6"/>
  <c r="H2" i="6"/>
  <c r="H5" i="6"/>
  <c r="H38" i="6"/>
  <c r="H39" i="6"/>
  <c r="H25" i="6"/>
  <c r="H43"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<sst xmlns="http://schemas.openxmlformats.org/spreadsheetml/2006/main" count="514" uniqueCount="244">
  <si>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</si>
  <si>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</si>
  <si>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</si>
  <si>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</si>
  <si>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</si>
  <si>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</si>
  <si>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</si>
  <si>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</si>
  <si>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</si>
  <si>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</si>
  <si>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</si>
  <si>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</si>
  <si>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</si>
  <si>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</si>
  <si>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</si>
  <si>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</si>
  <si>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</si>
  <si>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</si>
  <si>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</si>
  <si>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</si>
  <si>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</si>
  <si>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</si>
  <si>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</si>
  <si>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</si>
  <si>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</si>
  <si>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</si>
  <si>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</si>
  <si>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</si>
  <si>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</si>
  <si>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</si>
  <si>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</si>
  <si>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</si>
  <si>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</si>
  <si>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</si>
  <si>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</si>
  <si>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</si>
  <si>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</si>
  <si>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</si>
  <si>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</si>
  <si>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</si>
  <si>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</si>
  <si>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</si>
  <si>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</si>
  <si>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</si>
  <si>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</si>
  <si>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</si>
  <si>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</si>
  <si>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</si>
  <si>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</si>
  <si>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</si>
  <si>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</si>
  <si>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</si>
  <si>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</si>
  <si>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</si>
  <si>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</si>
  <si>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</si>
  <si>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</si>
  <si>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</si>
  <si>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</si>
  <si>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</si>
  <si>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</si>
  <si>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</si>
  <si>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</si>
  <si>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</si>
  <si>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</si>
  <si>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</si>
  <si>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</si>
  <si>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</si>
  <si>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</si>
  <si>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</si>
  <si>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</si>
  <si>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</si>
  <si>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</si>
  <si>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</si>
  <si>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</si>
  <si>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</si>
  <si>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</si>
  <si>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</si>
  <si>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</si>
  <si>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</si>
  <si>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</si>
  <si>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</si>
  <si>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</si>
  <si>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</si>
  <si>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</si>
  <si>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</si>
  <si>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</si>
  <si>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</si>
  <si>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</si>
  <si>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</si>
  <si>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</si>
  <si>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</si>
  <si>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</si>
  <si>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</si>
  <si>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</si>
  <si>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</si>
  <si>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</si>
  <si>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</si>
  <si>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</si>
  <si>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</si>
  <si>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</si>
  <si>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</si>
  <si>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</si>
  <si>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</si>
  <si>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</si>
  <si>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</si>
  <si>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</si>
  <si>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</si>
  <si>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</si>
  <si>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</si>
  <si>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</si>
  <si>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</si>
  <si>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</si>
  <si>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</si>
  <si>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</si>
  <si>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</si>
  <si>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</si>
  <si>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</si>
  <si>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</si>
  <si>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</si>
  <si>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</si>
  <si>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</si>
  <si>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</si>
  <si>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</si>
  <si>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</si>
  <si>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</si>
  <si>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</si>
  <si>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</si>
  <si>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</si>
  <si>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</si>
  <si>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</si>
  <si>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</si>
  <si>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</si>
  <si>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</si>
  <si>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</si>
  <si>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</si>
  <si>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</si>
  <si>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</si>
  <si>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</si>
  <si>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</si>
  <si>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</si>
  <si>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</si>
  <si>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</si>
  <si>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</si>
  <si>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</si>
  <si>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</si>
  <si>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</si>
  <si>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</si>
  <si>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</si>
  <si>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</si>
  <si>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</si>
  <si>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</si>
  <si>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</si>
  <si>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</si>
  <si>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</si>
  <si>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</si>
  <si>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</si>
  <si>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</si>
  <si>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</si>
  <si>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</si>
  <si>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</si>
  <si>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</si>
  <si>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</si>
  <si>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</si>
  <si>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</si>
  <si>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</si>
  <si>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</si>
  <si>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</si>
  <si>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</si>
  <si>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</si>
  <si>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</si>
  <si>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</si>
  <si>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</si>
  <si>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</si>
  <si>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</si>
  <si>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</si>
  <si>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</si>
  <si>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</si>
  <si>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</si>
  <si>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</si>
  <si>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</si>
  <si>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</si>
  <si>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</si>
  <si>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</si>
  <si>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</si>
  <si>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</si>
  <si>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</si>
  <si>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</si>
  <si>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</si>
  <si>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Adoptada en el año 2019 a traves de acto administrativo, el cual define en la entidad el nivel jeraquico y el nivel de responsabilidad. El organigrama se encuentra publicada en la pagina web de la entidad en el Link: Transparencia.</t>
  </si>
  <si>
    <t>Adotado a traves de la resolucion No. O11 de 15 de enero de 2020; la cual se encuentra publicada en el Link: Transparencia Institucional.</t>
  </si>
  <si>
    <t>Los servidores publicos de carrera administarativa de acuerdo con el marco normativo; son evaluados conforme con los lineamientos impartidos por la CNSC; los cuales fueron adoptadas en la entidad a través de acto administrativo - Resolucion No.160 de 5 de agosto de 2019 - Adpotción del Sistema Tipo Evaluación  de desempeño laboral de los empleados públicos de carera administrativa y en periodo de prueba de la ESE.HSJM; la cual se encuentra publicado en la página web en el Link: Transparencia Institucional.</t>
  </si>
  <si>
    <t>Codigo de Etica y Buen Gobierno;  Adoptado a través de Acto Administrativo - Resolucion  187 de Mayo 2021, y el codigo de Integridad fue adoptado atraves de Acto Administrativo, la cual se encuentra publicada en la página web en el Link: Transparecia.</t>
  </si>
  <si>
    <t>La gestión del talento humano en la entidad, parte del proceso de planeación de recursoa humanos, en este mismo sentido a través de las politicas de desarrollo administrativo se incluyo en la de talento humano el proceso de desvinculación conforme a los lieamientos establecidos por el DAFP, adoptados en el manual operativo y funciobal de Talento Humano,, el cual fue adoptado a traés de acto administrativo y se encuentra publicado en la página web en el Link: Transparecia Institucional - Estructura Organica del Talento Humano..</t>
  </si>
  <si>
    <t>La ESE adopto los mecanismos de rendición de cuenta a la ciudadania de conformidad con lo establecido por la circular unica Supersalud. Adicionalmente observo todos los lineamientos impartidos por función pública; proceso que en cada vigencia fiscal se publica en la página web de la entidad, para los fines pertinetes y oportunos con la comunidad y los operadores de control.</t>
  </si>
  <si>
    <t>La Entidad presenta oportunamente losm informes de gestión a la Contraloria, Secretaria Deopartamental de Salu, Ministerio de Salud y a tos los entes a los que esta obligada dentro de la oportunidad de los terminos de Ley.</t>
  </si>
  <si>
    <t>La Entidad dentro de la administración del riesgo, observando lo establecido en el Articulo 73 de la Ley 1474 de 2011; viene dando cumplimiento al estatuto Anticorrupción ; dentro de esta estratefgia se encuantra el mapa de riesgo de corrupción ; el cual fue diseñado en la entidad de conformidad con lo eatablecido por el DAFP; para adoptar  el Plan anticorrupción y de atención al ciudadano iintegrado por  sus 5  componentes, el cual se encuentra publicado en la página Web en el Link: Transparencia Institucional.</t>
  </si>
  <si>
    <t>Este proces hace parte integral del mapa de riesgo institucional, el cual fue diseñado por dependencia, conforme al organigrama adoptado en la entidad, el cual fue consolidado, por  planeación y se encuentra publicado en la pagina Web en el Link: Transparencia Intitucional - Planeación - Mapa de Riesgo.</t>
  </si>
  <si>
    <t>E.S.E. HOSPITAL SAN JERONIMO DE MONTERIA</t>
  </si>
  <si>
    <t xml:space="preserve">La entidad cuenta con un cronograma de comites institucionales, en los cuales en las reuniones o sesiones de comité en el orden del dia o agenda se  desarrollan temas relacionados con la administracion de riesgo y se establece en las respectivas actaslos responsables de gestionar los compromisos pendientes; actas que son organizadas o solicitadas por la dependencia de planeación, con el proposito de ejercer el control a las acciones correctivas propuestas por la administracion para subsanar  las deficiencias en materia de riesgo. </t>
  </si>
  <si>
    <t>La entidad adopto el plan de accion institucional el cual es alimentado por los POAS  de cada dependencia, los cuales cuentas con los respectivos mapas de riesgos; para garantizar una adecuada administración.</t>
  </si>
  <si>
    <t>La entida  adopto una estructura funcional archivo 2020, proceso que establece clramente  a responsabilidad de la información Institucional; la cual se encuentra publicada en la pagina web en el Link: Transparencia Institucional.</t>
  </si>
  <si>
    <t>La entidad conforme con el estatuto anticorrupcion y la politicas de desarrollo administrativo - MIPG, adopto varios canale sde comunicación con los ciudadanos, entre otros los siguientes: Pagina Web, oficina SIA, Buzones PQR; Linea Gratuita..etc</t>
  </si>
  <si>
    <t>La oficina de control inerno a través de las evaluaciones independientes y en las reuniones de comites institucioneales  ha podido evidenciar el manejo que  la administración  le da a los problemas que afectan el cumplimiento de objetivos y metas institucionales.</t>
  </si>
  <si>
    <t>La administración ejecuta la mayoria de Las veces las acciones de acuero a como se diseño previamente; pero en algunos casos realiza los ajustes necesarios para minimizar los riesgos que inicialmente no se habian identificados.</t>
  </si>
  <si>
    <t xml:space="preserve">La administración - Lideres de procesos a traves de los mapas de riesgo por proceso  estrategicos, misionales, de apoyo y de evaluación gestionan los problemas que afectan el cumplimiento de sus funciones y objetivos institucionales. </t>
  </si>
  <si>
    <t>Adoptado a través de Acto Administrativo - Resolución 101 de 2020, la cual se encuentra publicada en la página web en el Link: Transparecia.</t>
  </si>
  <si>
    <t>01/01/2022 - 30/06/2022</t>
  </si>
  <si>
    <t>La plataforma Estrategica se actualizo y se adopto a taves de acto administrativo 2019  y se encuentra publicada en la página web. El plan de accion institucional 2022 se encuentra publicado en la página web en el Link: Transparencia. Adicionalmente existe uncronograma de comites institucionales los cuales fueron adoptados a traves dse actos administrativos.</t>
  </si>
  <si>
    <t>En la entidad se encuentran adoptados atraves de actos administrativos los respectivos manuales de procesos y procedimientos estategicos, misionales, de apoyo y de evaluacion; en los cuales se establen actividades detalladas y los responsables de su ejecucion y cumplimiento de metas; las cuales son evaluadas y medidas periodicamente por la oficna de planeacion y control interno gestión.</t>
  </si>
  <si>
    <t>La administracio  por medio  de la oficina de recurso humano en el proceso de ingreso o vinculación de los funcionarios a la entidad lo realiza conforme con los lineamientos impartidos por función pública - DAFP; los cuales fueron adoptados en la entidad;  a través de la estructura funcional y operativa área de talento humano .</t>
  </si>
  <si>
    <t>La entidad; observando los lineamientos impartidos por funcioón pública, cuenta con el plan estrategico de talento humamo el cual contine los diferentes procesos de induccion, capacitacion, y bienestar social , aprobado mediante resolucion 052 de 22 de enero de 2022 y se encuentra publicado  en la paginá web en el Link: Transparencia Institucional.</t>
  </si>
  <si>
    <t>La Entidad reviso su politica de operación y  a través de la Administracion de Riesgo (Politica de administración de riesgo,  identificion del riesgo y analisis y valoracion del riesgo) identifico los cambios en el entorno que pueden generar consecuencias negativas en su gestión (Objetivos - Metas); adoptadas a traves de acto administrativo publicado en la página web en el Link: Transparencia Institucional.</t>
  </si>
  <si>
    <t>La ESE  cuenta con un mapa de riesgo por dependencias o procesos, los cuales son administrados por cada lider de proceso, los cuales monitorean periodicamente con el fin de que la gestión del riesgo sea efectiva, evitando asi  la  materialización del riesgo.</t>
  </si>
  <si>
    <t xml:space="preserve">los jefes de procesoss informan periodicamente a la oficina de planeacion </t>
  </si>
  <si>
    <t>En la entidad se viene fortaleciendo la politica de riesgo, cada lider de proceso hace seguimeinto a los rriesgos inherentes a su proceso a cargo, fomentando ademas el autocontrol</t>
  </si>
  <si>
    <t>Actualmente en la entidad se viene fortaleciendo este proceso  a través de la dependencia de planeación, la cual  al inicio de la vigencia identifico, analizo y valoro los riesgos por dependencia, con el proposito que cada lider de proceso  administre adecuadamente los riesgos que puedan afectar el logro o cumplimiento de metas y objetivos institucionales.</t>
  </si>
  <si>
    <t>La entidad actualmente, para el manejo de riesgo vienecapacitando  a los lideres procesos la responasabilidad que tiene de coordinar en sus dependencias el cumplimiento de los objetivos o metas establecidos en cada uno de los procesos adoptados en la entidad; con el proposito que desarrrollen el auto control, para la mejora continua y no esperar las evaluaciones independientes realizadas por la oficina de control interno en la que les recomienda  implentar las acciones  correctivas , para fortalecer el sistema de control interno frente a su funcion preventiva.</t>
  </si>
  <si>
    <t xml:space="preserve">los lideres de procesos realizan seguimiento a los controles establecidos para los riesgos identificados a sus procesos </t>
  </si>
  <si>
    <t xml:space="preserve">La entidad cuenta con una herramienta de control "Mapa de Riesgo" por proceso a traves de los cuale se vienen mitigando los riesgo en la entidad, en los que se encuentran incluidos los riesgos de corrupcion </t>
  </si>
  <si>
    <t>se observa seguimeinto por parte de los lideres de los procesos a los diferentes riesgos identificados en sus procesoso a cargo, la oficina de planeacion hace acompañamiento a esta verificacion y seguimento</t>
  </si>
  <si>
    <t>la entidad cuenta con el  Mapa de Riesgo Institucional de los cuales hace parte integral los posibles riesgos de corrupción  2022; este mapa de riesgo es una herramienta de control a la gestión; es decir herramienta de autocontrol, autoevaluación y evaluación  independiente,</t>
  </si>
  <si>
    <t>la entidad cuenta con un plan anticorrupción y de atención al ciudadano 2022, ,  conforme  con los lineamientos establecidos, por función publica y  en la Ley 14 74 de 2011 -Estatuto Anticorrución; el cual se encuentra publicado en la página web en el Link: Transparencia Insstitucional - Planeación.</t>
  </si>
  <si>
    <t>La entidad cumple oportunamente con el reporte de informacion interna y externa bien sea por aplicativos o cualquie medio de comunicación, correos, etc,</t>
  </si>
  <si>
    <t>la entida tiene identificada la informacion que produce para todas la partes interesadas, se hace seguimeinto a traves de la oficina de pñlaneacion y control interno</t>
  </si>
  <si>
    <t>los jefes de areas tienen identificada la informacion necesaria para la operación con publicaciones de acuerdo a los lineamientos de  Matriz  ITA en el  Lik: Transparencia Institucional.</t>
  </si>
  <si>
    <t>Actualmentemte la entidad viene dando cumplimiento al Plan de Accion 2022, el cual se reporta a traves de la plataforma Fenix: en ese mismo sentido vine reportando a la CGR a travÉs de la plataforma SIRECI, y al Ministerio de Salud  se viene reportando  la informacion administrativa, financiera, tecnica y juridica a travs de la plataforma SIHO.</t>
  </si>
  <si>
    <t>La Entidad conforme con la Ley  1712 de 2014 -, viene dando cumplimiento y se encuentra publicada en el Link: Transparencia Institucional.</t>
  </si>
  <si>
    <t>se realiza seguiiento al plan de acción institucional, el cual se encuentra publicado en la página web en el Lin: Transparencia Institucional - Planeación.  mide atraves de los indicadores establecidos para el cumplimiento de las respectivas metas y objetivos institucionales.</t>
  </si>
  <si>
    <t xml:space="preserve">La oficina  de control interno realiza de manera oportuna evaluacion y seguimiento al SCI, a través del informe semestral pormenorizado;  en el que genera recomendaciones, para fortalecer el Sistema de Control Interno frente a su función Preventiva; es decir la administración implementa las acciones correctivas recomendadas por la oficina de control interno, esta oficfina ademass realiza otros tipos de informes que le permiten hacer seguimeintos a la efectividad del sistema, se realizan comites de desempeño istitucional, entre otros </t>
  </si>
  <si>
    <t>la entidad establece planes de mejoras con el proposito de subsanar defiencias detectadad en el cumplimiento de los procesos y procedimeintos, las  oficina de calidad , planeacion y control interno realizan seguiemiento a estos</t>
  </si>
  <si>
    <t>La ofina n control interno atendiendo el rol de relacion con los entes de control realiza los respectivos seguimientos a los pla nes de mejoramientos suscritos por el representante legal de la Entidad; con el propósito de presentar dentro de la oportuniudad de los términos los informes de avance semestral de seguimiento a los planes de mejoramiento.</t>
  </si>
  <si>
    <t>La Entidad a través  del jefe de control interno o dependencia de control interno, hace parte integral del comité departamental de auditoría de conformidad con el Decreto expedido por la gobernacion del departamento.</t>
  </si>
  <si>
    <t>mediante el seguiemiento a la la matriz de riesgo establecida por los diferentes jefes de areas, se evidencian los puntos criticos a los procesos, se toman las controles necesarios para mitigar los riesgos</t>
  </si>
  <si>
    <t>La oficina de control interno y planeacion a través de las evaluaciones independientes y en las reuniones de comites institucioneales  ha  recomendado implementar acciones correctivas que permitan ajustar adecuadamente los mapas de riesgo por procesos; herramienta util para el  controlar del cumplimiento de las metas y objetivos institucionales.</t>
  </si>
  <si>
    <t>se debe definir un mecanismo o líneas de reporte (fuentes de información internas) que le permitan evaluar de manera permanente la efectividad del sistema de control interno, por parte de la alta dirección.</t>
  </si>
  <si>
    <t>En la entidad este tipo de actividades actualmente se da en el día a día de la gestión institucional y a través de evaluaciones continuas (autoevaluaciones y auditorias internas, informes entre otros)</t>
  </si>
  <si>
    <t>Apesar que se hace seguiemiento a la gestion de los riesgo, es debil, la promoción de los espacios para capacitar a los líderes de los procesos y sus equipos de trabajo sobre la metodología de gestión del riesgo con el fin de que sea implementada adecuadamente entre los líderes de proceso y sus equipos de trabajo,</t>
  </si>
  <si>
    <t xml:space="preserve">se debe asegurar  que los procesos de información y comunicación garanticen las condiciones necesarias para el funcionamiento del sistema de control interno (SCI). </t>
  </si>
  <si>
    <t>Monitorear el seguimiento a la gestión del riesgo por parte de las instancias responsables para determinar si este se lleva a cabo adecuadamente, por parte del comité institucional de coordinación de control interno.</t>
  </si>
  <si>
    <t>Se evidencian que todos  los componentes se encuentran en funcionamiento en la entidad, pero se  presentan deficiencias puesto  a que el  Sistema de Control es dinámico y debe de adaptarse a los constantes cambios normativos que es la esencia, para construcción y aplicación de las normatividades legales e internas; Mayor compromiso de la
implementación y aplicación de los procesos y procedimientos por los lideres de los procesos .</t>
  </si>
  <si>
    <r>
      <rPr>
        <b/>
        <u/>
        <sz val="14"/>
        <color theme="0"/>
        <rFont val="Arial"/>
        <family val="2"/>
      </rPr>
      <t xml:space="preserve"> Estado actual:</t>
    </r>
    <r>
      <rPr>
        <b/>
        <sz val="14"/>
        <color theme="0"/>
        <rFont val="Arial"/>
        <family val="2"/>
      </rPr>
      <t xml:space="preserve"> Explicacion de las Debilidades y/o Fortalezas encontradas en cada componente</t>
    </r>
  </si>
  <si>
    <t xml:space="preserve">La entidad ha venido mejorando considerablemente  en este aspecto ya que las situaciones son tratadas en los diferentes comites institucionales, resaltamos el  compromiso de la Alta Gerencia con estos comités. De igual forma es de vital importancia que la Segunda Línea de Defensa jefes de areas y lideres de procesos) se apropien en mayor responsabilidad del Mantenimiento y Mejoramiento del Sistema de Control Interno en cada uno de sus procesos para propender por un Mejoramiento Continuo; así mismo propiciar en todos los funcionarios de la entidad el compromiso del Sistema de Control Interno, mediante concertación de objetivos de desempeño coherentes con las metas institucionales, y que estos desde luego sean evaluados dentro de la Evaluación del Desempeño </t>
  </si>
  <si>
    <t>La Entidad implemento de conformidad con los lineamientos impartidos por función publica el MIPG - MECI, estructura de control que permite fortalecer el sistema de control interno, garantizando así la efectividad de los controles, para el cumplimiento de los objetivos y metas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</si>
</sst>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7"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b/>
      <sz val="24"/>
      <color theme="0"/>
      <name val="Arial Narrow"/>
      <family val="2"/>
    </font>
    <font>
      <b/>
      <sz val="20"/>
      <color theme="0"/>
      <name val="Arial"/>
      <family val="2"/>
    </font>
    <font>
      <sz val="25"/>
      <color theme="1"/>
      <name val="Arial Narrow"/>
      <family val="2"/>
    </font>
    <font>
      <b/>
      <sz val="12"/>
      <name val="Arial Narrow"/>
      <family val="2"/>
    </font>
    <font>
      <sz val="14"/>
      <color theme="1"/>
      <name val="Arial"/>
      <family val="2"/>
    </font>
    <font>
      <b/>
      <sz val="14"/>
      <color rgb="FFFF0000"/>
      <name val="Arial"/>
      <family val="2"/>
    </font>
    <font>
      <b/>
      <sz val="14"/>
      <color theme="0"/>
      <name val="Arial"/>
      <family val="2"/>
    </font>
    <font>
      <b/>
      <u/>
      <sz val="14"/>
      <color theme="0"/>
      <name val="Arial"/>
      <family val="2"/>
    </font>
    <font>
      <b/>
      <sz val="14"/>
      <color theme="1"/>
      <name val="Arial"/>
      <family val="2"/>
    </font>
    <font>
      <sz val="14"/>
      <name val="Arial"/>
      <family val="2"/>
    </font>
  </fonts>
  <fills count="20">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66"/>
        <bgColor indexed="64"/>
      </patternFill>
    </fill>
    <fill>
      <patternFill patternType="solid">
        <fgColor theme="3" tint="0.79998168889431442"/>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18" fillId="0" borderId="0"/>
    <xf numFmtId="0" fontId="26" fillId="0" borderId="0"/>
    <xf numFmtId="0" fontId="30" fillId="0" borderId="0"/>
  </cellStyleXfs>
  <cellXfs count="368">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Alignment="1">
      <alignment wrapText="1"/>
    </xf>
    <xf numFmtId="0" fontId="0" fillId="0" borderId="0" xfId="0" applyBorder="1"/>
    <xf numFmtId="0" fontId="2" fillId="4" borderId="21" xfId="0" applyFont="1" applyFill="1" applyBorder="1" applyAlignment="1">
      <alignment vertical="center"/>
    </xf>
    <xf numFmtId="0" fontId="2" fillId="4" borderId="0" xfId="0" applyFont="1" applyFill="1" applyBorder="1" applyAlignment="1">
      <alignment vertical="center"/>
    </xf>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3" fillId="4" borderId="0" xfId="0" applyFont="1" applyFill="1" applyBorder="1" applyAlignment="1">
      <alignment vertical="center"/>
    </xf>
    <xf numFmtId="0" fontId="14"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19" fillId="0" borderId="0" xfId="2" applyFont="1" applyFill="1" applyAlignment="1" applyProtection="1">
      <alignment vertical="center"/>
      <protection locked="0"/>
    </xf>
    <xf numFmtId="49" fontId="21" fillId="4" borderId="0" xfId="2" applyNumberFormat="1" applyFont="1" applyFill="1" applyAlignment="1" applyProtection="1">
      <alignment vertical="center"/>
      <protection locked="0"/>
    </xf>
    <xf numFmtId="0" fontId="21" fillId="4" borderId="0" xfId="2" applyFont="1" applyFill="1" applyAlignment="1" applyProtection="1">
      <alignment vertical="center"/>
      <protection locked="0"/>
    </xf>
    <xf numFmtId="9" fontId="23" fillId="4" borderId="0" xfId="2" applyNumberFormat="1" applyFont="1" applyFill="1" applyAlignment="1" applyProtection="1">
      <alignment vertical="center"/>
      <protection locked="0"/>
    </xf>
    <xf numFmtId="9" fontId="19" fillId="4" borderId="0" xfId="1" applyFont="1" applyFill="1" applyAlignment="1" applyProtection="1">
      <alignment vertical="center"/>
      <protection locked="0"/>
    </xf>
    <xf numFmtId="9" fontId="19" fillId="4" borderId="0" xfId="2" applyNumberFormat="1" applyFont="1" applyFill="1" applyAlignment="1" applyProtection="1">
      <alignment vertical="center"/>
      <protection locked="0"/>
    </xf>
    <xf numFmtId="0" fontId="23" fillId="4" borderId="0" xfId="2" applyFont="1" applyFill="1" applyAlignment="1" applyProtection="1">
      <alignment vertical="center"/>
      <protection locked="0"/>
    </xf>
    <xf numFmtId="0" fontId="23" fillId="0" borderId="0" xfId="3" applyFont="1" applyProtection="1"/>
    <xf numFmtId="0" fontId="7" fillId="4" borderId="0" xfId="0" applyFont="1" applyFill="1"/>
    <xf numFmtId="0" fontId="7" fillId="0" borderId="0" xfId="0" applyFont="1"/>
    <xf numFmtId="0" fontId="33" fillId="0" borderId="0" xfId="0" applyFont="1" applyAlignment="1">
      <alignment vertical="top"/>
    </xf>
    <xf numFmtId="49" fontId="33" fillId="0" borderId="0" xfId="0" applyNumberFormat="1" applyFont="1" applyAlignment="1">
      <alignment horizontal="center" vertical="top"/>
    </xf>
    <xf numFmtId="0" fontId="19" fillId="4" borderId="0" xfId="2" applyFont="1" applyFill="1" applyAlignment="1" applyProtection="1">
      <alignment vertical="center"/>
      <protection locked="0"/>
    </xf>
    <xf numFmtId="0" fontId="23" fillId="4" borderId="0" xfId="3" applyFont="1" applyFill="1" applyBorder="1" applyProtection="1"/>
    <xf numFmtId="0" fontId="23" fillId="4" borderId="59" xfId="3" applyFont="1" applyFill="1" applyBorder="1" applyAlignment="1" applyProtection="1">
      <alignment vertical="top" wrapText="1"/>
    </xf>
    <xf numFmtId="0" fontId="23" fillId="4" borderId="0" xfId="3" applyFont="1" applyFill="1" applyBorder="1" applyAlignment="1" applyProtection="1">
      <alignment vertical="top" wrapText="1"/>
    </xf>
    <xf numFmtId="0" fontId="23" fillId="4" borderId="60" xfId="3" applyFont="1" applyFill="1" applyBorder="1" applyAlignment="1" applyProtection="1">
      <alignment vertical="top" wrapText="1"/>
    </xf>
    <xf numFmtId="0" fontId="23" fillId="4" borderId="59" xfId="3" applyFont="1" applyFill="1" applyBorder="1" applyAlignment="1" applyProtection="1">
      <alignment horizontal="left" vertical="top"/>
    </xf>
    <xf numFmtId="0" fontId="23" fillId="4" borderId="60" xfId="3" applyFont="1" applyFill="1" applyBorder="1" applyAlignment="1" applyProtection="1">
      <alignment horizontal="left" vertical="top"/>
    </xf>
    <xf numFmtId="0" fontId="23" fillId="4" borderId="59" xfId="3" applyFont="1" applyFill="1" applyBorder="1" applyProtection="1"/>
    <xf numFmtId="0" fontId="31" fillId="4" borderId="0" xfId="4" applyFont="1" applyFill="1" applyBorder="1" applyAlignment="1" applyProtection="1">
      <alignment horizontal="left" vertical="top" wrapText="1" readingOrder="1"/>
    </xf>
    <xf numFmtId="0" fontId="23" fillId="4" borderId="60" xfId="3" applyFont="1" applyFill="1" applyBorder="1" applyProtection="1"/>
    <xf numFmtId="0" fontId="23" fillId="4" borderId="72" xfId="3" applyFont="1" applyFill="1" applyBorder="1" applyProtection="1"/>
    <xf numFmtId="0" fontId="23" fillId="4" borderId="73" xfId="3" applyFont="1" applyFill="1" applyBorder="1" applyProtection="1"/>
    <xf numFmtId="0" fontId="23" fillId="4" borderId="74" xfId="3" applyFont="1" applyFill="1" applyBorder="1" applyProtection="1"/>
    <xf numFmtId="0" fontId="31"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top" wrapText="1"/>
    </xf>
    <xf numFmtId="0" fontId="23" fillId="4" borderId="0" xfId="3" quotePrefix="1" applyFont="1" applyFill="1" applyBorder="1" applyAlignment="1" applyProtection="1">
      <alignment horizontal="left" vertical="center" wrapText="1"/>
    </xf>
    <xf numFmtId="0" fontId="23" fillId="4" borderId="60" xfId="3" applyFont="1" applyFill="1" applyBorder="1" applyAlignment="1" applyProtection="1"/>
    <xf numFmtId="0" fontId="29" fillId="4" borderId="0" xfId="3" applyFont="1" applyFill="1" applyBorder="1" applyAlignment="1" applyProtection="1">
      <alignment horizontal="left" vertical="center" wrapText="1"/>
    </xf>
    <xf numFmtId="0" fontId="23"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1" fillId="9" borderId="11" xfId="0" applyFont="1" applyFill="1" applyBorder="1" applyAlignment="1">
      <alignment horizontal="center" vertical="top" wrapText="1"/>
    </xf>
    <xf numFmtId="49" fontId="42" fillId="5" borderId="7" xfId="0" applyNumberFormat="1" applyFont="1" applyFill="1" applyBorder="1" applyAlignment="1">
      <alignment horizontal="center" vertical="center" wrapText="1"/>
    </xf>
    <xf numFmtId="0" fontId="42" fillId="5" borderId="7"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3" fillId="0" borderId="2" xfId="0" applyFont="1" applyBorder="1" applyAlignment="1">
      <alignment horizontal="center" vertical="center" wrapText="1"/>
    </xf>
    <xf numFmtId="0" fontId="43" fillId="0" borderId="2" xfId="0" applyFont="1" applyBorder="1" applyAlignment="1">
      <alignment horizontal="left" vertical="center" wrapText="1"/>
    </xf>
    <xf numFmtId="0" fontId="43" fillId="0" borderId="3" xfId="0" applyFont="1" applyBorder="1" applyAlignment="1">
      <alignment horizontal="center" vertical="center" wrapText="1"/>
    </xf>
    <xf numFmtId="0" fontId="43" fillId="0" borderId="3" xfId="0" applyFont="1" applyBorder="1" applyAlignment="1">
      <alignment horizontal="left" vertical="center" wrapText="1"/>
    </xf>
    <xf numFmtId="0" fontId="43" fillId="0" borderId="4" xfId="0" applyFont="1" applyBorder="1" applyAlignment="1">
      <alignment horizontal="center" vertical="center" wrapText="1"/>
    </xf>
    <xf numFmtId="0" fontId="43" fillId="0" borderId="4" xfId="0" applyFont="1" applyBorder="1" applyAlignment="1">
      <alignment horizontal="left" vertical="center" wrapText="1"/>
    </xf>
    <xf numFmtId="0" fontId="43" fillId="0" borderId="2" xfId="0" applyFont="1" applyFill="1" applyBorder="1" applyAlignment="1">
      <alignment horizontal="left" vertical="center" wrapText="1"/>
    </xf>
    <xf numFmtId="0" fontId="47" fillId="2" borderId="3" xfId="0" applyFont="1" applyFill="1" applyBorder="1" applyAlignment="1">
      <alignment horizontal="center" vertical="center"/>
    </xf>
    <xf numFmtId="0" fontId="22" fillId="4" borderId="0" xfId="2" applyNumberFormat="1" applyFont="1" applyFill="1" applyBorder="1" applyAlignment="1" applyProtection="1">
      <alignment vertical="center" wrapText="1"/>
    </xf>
    <xf numFmtId="0" fontId="32" fillId="4" borderId="0" xfId="2" applyFont="1" applyFill="1" applyBorder="1" applyAlignment="1" applyProtection="1">
      <alignment vertical="center" wrapText="1"/>
    </xf>
    <xf numFmtId="0" fontId="33" fillId="0" borderId="0" xfId="0" applyNumberFormat="1" applyFont="1" applyAlignment="1" applyProtection="1">
      <alignment horizontal="center" vertical="top"/>
      <protection hidden="1"/>
    </xf>
    <xf numFmtId="0" fontId="35"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49" fontId="8" fillId="0" borderId="0" xfId="0" applyNumberFormat="1" applyFont="1" applyAlignment="1" applyProtection="1">
      <alignment horizontal="center" vertical="top"/>
      <protection hidden="1"/>
    </xf>
    <xf numFmtId="0" fontId="35" fillId="0" borderId="9" xfId="0" applyFont="1" applyBorder="1" applyAlignment="1" applyProtection="1">
      <alignment horizontal="center" vertical="center" wrapText="1"/>
      <protection hidden="1"/>
    </xf>
    <xf numFmtId="0" fontId="35"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5" fillId="0" borderId="79" xfId="0" applyFont="1" applyFill="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locked="0"/>
    </xf>
    <xf numFmtId="0" fontId="33" fillId="0" borderId="79" xfId="0" applyFont="1" applyBorder="1" applyAlignment="1" applyProtection="1">
      <alignment horizontal="left" vertical="center" wrapText="1"/>
      <protection locked="0"/>
    </xf>
    <xf numFmtId="0" fontId="40" fillId="0" borderId="3" xfId="0" applyFont="1" applyBorder="1" applyAlignment="1" applyProtection="1">
      <alignment horizontal="center" vertical="center" wrapText="1"/>
      <protection locked="0"/>
    </xf>
    <xf numFmtId="0" fontId="33" fillId="0" borderId="9" xfId="0" applyFont="1" applyBorder="1" applyAlignment="1" applyProtection="1">
      <alignment horizontal="left" vertical="center" wrapText="1"/>
      <protection locked="0"/>
    </xf>
    <xf numFmtId="0" fontId="40" fillId="0" borderId="4" xfId="0" applyFont="1" applyBorder="1" applyAlignment="1" applyProtection="1">
      <alignment horizontal="center" vertical="center" wrapText="1"/>
      <protection locked="0"/>
    </xf>
    <xf numFmtId="0" fontId="33" fillId="0" borderId="80" xfId="0" applyFont="1" applyBorder="1" applyAlignment="1" applyProtection="1">
      <alignment horizontal="left" vertical="center" wrapText="1"/>
      <protection locked="0"/>
    </xf>
    <xf numFmtId="0" fontId="40" fillId="0" borderId="2" xfId="0" applyFont="1" applyFill="1" applyBorder="1" applyAlignment="1" applyProtection="1">
      <alignment horizontal="center" vertical="center" wrapText="1"/>
      <protection locked="0"/>
    </xf>
    <xf numFmtId="0" fontId="33" fillId="0" borderId="79" xfId="0" applyFont="1" applyFill="1" applyBorder="1" applyAlignment="1" applyProtection="1">
      <alignment horizontal="left" vertical="center" wrapText="1"/>
      <protection locked="0"/>
    </xf>
    <xf numFmtId="0" fontId="17" fillId="2" borderId="82" xfId="2" applyFont="1" applyFill="1" applyBorder="1" applyAlignment="1" applyProtection="1">
      <alignment horizontal="center" vertical="center"/>
    </xf>
    <xf numFmtId="0" fontId="17"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7"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7"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7"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7"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7" fillId="0" borderId="6" xfId="0" applyFont="1" applyFill="1" applyBorder="1" applyAlignment="1" applyProtection="1">
      <alignment vertical="center" wrapText="1"/>
      <protection hidden="1"/>
    </xf>
    <xf numFmtId="0" fontId="37" fillId="0" borderId="3" xfId="0" applyFont="1" applyFill="1" applyBorder="1" applyAlignment="1" applyProtection="1">
      <alignment vertical="center" wrapText="1"/>
      <protection hidden="1"/>
    </xf>
    <xf numFmtId="0" fontId="37" fillId="0" borderId="7" xfId="0" applyFont="1" applyFill="1" applyBorder="1" applyAlignment="1" applyProtection="1">
      <alignment vertical="center" wrapText="1"/>
      <protection hidden="1"/>
    </xf>
    <xf numFmtId="0" fontId="45"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9" fillId="2" borderId="26" xfId="0" applyNumberFormat="1" applyFont="1" applyFill="1" applyBorder="1" applyAlignment="1" applyProtection="1">
      <alignment horizontal="center" vertical="center"/>
      <protection hidden="1"/>
    </xf>
    <xf numFmtId="49" fontId="16" fillId="5" borderId="7" xfId="0" applyNumberFormat="1" applyFont="1" applyFill="1" applyBorder="1" applyAlignment="1" applyProtection="1">
      <alignment horizontal="center" vertical="center" wrapText="1"/>
      <protection hidden="1"/>
    </xf>
    <xf numFmtId="0" fontId="16" fillId="5" borderId="7"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wrapText="1"/>
      <protection hidden="1"/>
    </xf>
    <xf numFmtId="0" fontId="16"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1" fillId="9" borderId="14" xfId="0" applyNumberFormat="1" applyFont="1" applyFill="1" applyBorder="1" applyAlignment="1">
      <alignment horizontal="center" vertical="center" wrapText="1"/>
    </xf>
    <xf numFmtId="49" fontId="41" fillId="9" borderId="11" xfId="0" applyNumberFormat="1" applyFont="1" applyFill="1" applyBorder="1" applyAlignment="1">
      <alignment horizontal="center" vertical="center" wrapText="1"/>
    </xf>
    <xf numFmtId="0" fontId="43" fillId="17" borderId="3" xfId="0" applyFont="1" applyFill="1" applyBorder="1" applyAlignment="1">
      <alignment horizontal="center" vertical="center" wrapText="1"/>
    </xf>
    <xf numFmtId="0" fontId="43" fillId="17" borderId="3" xfId="0" applyFont="1" applyFill="1" applyBorder="1" applyAlignment="1">
      <alignment horizontal="left" vertical="center" wrapText="1"/>
    </xf>
    <xf numFmtId="0" fontId="40" fillId="17" borderId="3" xfId="0" applyFont="1" applyFill="1" applyBorder="1" applyAlignment="1" applyProtection="1">
      <alignment horizontal="center" vertical="center" wrapText="1"/>
      <protection locked="0"/>
    </xf>
    <xf numFmtId="0" fontId="33" fillId="17" borderId="9" xfId="0" applyFont="1" applyFill="1" applyBorder="1" applyAlignment="1" applyProtection="1">
      <alignment horizontal="left" vertical="center" wrapText="1"/>
      <protection locked="0"/>
    </xf>
    <xf numFmtId="0" fontId="35" fillId="17" borderId="9" xfId="0" applyFont="1" applyFill="1" applyBorder="1" applyAlignment="1" applyProtection="1">
      <alignment horizontal="center" vertical="center" wrapText="1"/>
      <protection hidden="1"/>
    </xf>
    <xf numFmtId="0" fontId="43" fillId="18" borderId="2" xfId="0" applyFont="1" applyFill="1" applyBorder="1" applyAlignment="1">
      <alignment horizontal="center" vertical="center" wrapText="1"/>
    </xf>
    <xf numFmtId="0" fontId="43" fillId="18" borderId="2" xfId="0" applyFont="1" applyFill="1" applyBorder="1" applyAlignment="1">
      <alignment horizontal="left" vertical="center" wrapText="1"/>
    </xf>
    <xf numFmtId="0" fontId="40" fillId="18" borderId="2" xfId="0" applyFont="1" applyFill="1" applyBorder="1" applyAlignment="1" applyProtection="1">
      <alignment horizontal="center" vertical="center" wrapText="1"/>
      <protection locked="0"/>
    </xf>
    <xf numFmtId="0" fontId="33" fillId="18" borderId="79" xfId="0" applyFont="1" applyFill="1" applyBorder="1" applyAlignment="1" applyProtection="1">
      <alignment horizontal="left" vertical="center" wrapText="1"/>
      <protection locked="0"/>
    </xf>
    <xf numFmtId="0" fontId="35" fillId="18" borderId="79" xfId="0" applyFont="1" applyFill="1" applyBorder="1" applyAlignment="1" applyProtection="1">
      <alignment horizontal="center" vertical="center" wrapText="1"/>
      <protection hidden="1"/>
    </xf>
    <xf numFmtId="0" fontId="43" fillId="18" borderId="3" xfId="0" applyFont="1" applyFill="1" applyBorder="1" applyAlignment="1">
      <alignment horizontal="center" vertical="center" wrapText="1"/>
    </xf>
    <xf numFmtId="0" fontId="44" fillId="18" borderId="3" xfId="0" applyFont="1" applyFill="1" applyBorder="1" applyAlignment="1">
      <alignment horizontal="left" vertical="center" wrapText="1"/>
    </xf>
    <xf numFmtId="0" fontId="40" fillId="18" borderId="3" xfId="0" applyFont="1" applyFill="1" applyBorder="1" applyAlignment="1" applyProtection="1">
      <alignment horizontal="center" vertical="center" wrapText="1"/>
      <protection locked="0"/>
    </xf>
    <xf numFmtId="0" fontId="7" fillId="18" borderId="9" xfId="0" applyFont="1" applyFill="1" applyBorder="1" applyAlignment="1" applyProtection="1">
      <alignment horizontal="left" vertical="center" wrapText="1"/>
      <protection locked="0"/>
    </xf>
    <xf numFmtId="0" fontId="36" fillId="18" borderId="9" xfId="0" applyFont="1" applyFill="1" applyBorder="1" applyAlignment="1" applyProtection="1">
      <alignment horizontal="center" vertical="center" wrapText="1"/>
      <protection hidden="1"/>
    </xf>
    <xf numFmtId="0" fontId="43" fillId="18" borderId="3" xfId="0" applyFont="1" applyFill="1" applyBorder="1" applyAlignment="1">
      <alignment horizontal="left" vertical="center" wrapText="1"/>
    </xf>
    <xf numFmtId="0" fontId="33" fillId="18" borderId="9" xfId="0" applyFont="1" applyFill="1" applyBorder="1" applyAlignment="1" applyProtection="1">
      <alignment horizontal="left" vertical="center" wrapText="1"/>
      <protection locked="0"/>
    </xf>
    <xf numFmtId="0" fontId="35" fillId="18" borderId="9" xfId="0" applyFont="1" applyFill="1" applyBorder="1" applyAlignment="1" applyProtection="1">
      <alignment horizontal="center" vertical="center" wrapText="1"/>
      <protection hidden="1"/>
    </xf>
    <xf numFmtId="0" fontId="43" fillId="18" borderId="4" xfId="0" applyFont="1" applyFill="1" applyBorder="1" applyAlignment="1">
      <alignment horizontal="center" vertical="center" wrapText="1"/>
    </xf>
    <xf numFmtId="0" fontId="43" fillId="18" borderId="4" xfId="0" applyFont="1" applyFill="1" applyBorder="1" applyAlignment="1">
      <alignment horizontal="left" vertical="center" wrapText="1"/>
    </xf>
    <xf numFmtId="0" fontId="40" fillId="18" borderId="4" xfId="0" applyFont="1" applyFill="1" applyBorder="1" applyAlignment="1" applyProtection="1">
      <alignment horizontal="center" vertical="center" wrapText="1"/>
      <protection locked="0"/>
    </xf>
    <xf numFmtId="0" fontId="33" fillId="18" borderId="80" xfId="0" applyFont="1" applyFill="1" applyBorder="1" applyAlignment="1" applyProtection="1">
      <alignment horizontal="left" vertical="center" wrapText="1"/>
      <protection locked="0"/>
    </xf>
    <xf numFmtId="0" fontId="35" fillId="18" borderId="80" xfId="0" applyFont="1" applyFill="1" applyBorder="1" applyAlignment="1" applyProtection="1">
      <alignment horizontal="center" vertical="center" wrapText="1"/>
      <protection hidden="1"/>
    </xf>
    <xf numFmtId="0" fontId="43" fillId="19" borderId="2" xfId="0" applyFont="1" applyFill="1" applyBorder="1" applyAlignment="1">
      <alignment horizontal="center" vertical="center" wrapText="1"/>
    </xf>
    <xf numFmtId="0" fontId="43" fillId="19" borderId="2" xfId="0" applyFont="1" applyFill="1" applyBorder="1" applyAlignment="1">
      <alignment horizontal="left" vertical="center" wrapText="1"/>
    </xf>
    <xf numFmtId="0" fontId="40" fillId="19" borderId="2" xfId="0" applyFont="1" applyFill="1" applyBorder="1" applyAlignment="1" applyProtection="1">
      <alignment horizontal="center" vertical="center" wrapText="1"/>
      <protection locked="0"/>
    </xf>
    <xf numFmtId="0" fontId="33" fillId="19" borderId="79" xfId="0" applyFont="1" applyFill="1" applyBorder="1" applyAlignment="1" applyProtection="1">
      <alignment horizontal="left" vertical="center" wrapText="1"/>
      <protection locked="0"/>
    </xf>
    <xf numFmtId="0" fontId="35" fillId="19" borderId="79" xfId="0" applyFont="1" applyFill="1" applyBorder="1" applyAlignment="1" applyProtection="1">
      <alignment horizontal="center" vertical="center" wrapText="1"/>
      <protection hidden="1"/>
    </xf>
    <xf numFmtId="0" fontId="43" fillId="19" borderId="3" xfId="0" applyFont="1" applyFill="1" applyBorder="1" applyAlignment="1">
      <alignment horizontal="center" vertical="center" wrapText="1"/>
    </xf>
    <xf numFmtId="0" fontId="43" fillId="19" borderId="3" xfId="0" applyFont="1" applyFill="1" applyBorder="1" applyAlignment="1">
      <alignment horizontal="left" vertical="center" wrapText="1"/>
    </xf>
    <xf numFmtId="0" fontId="40" fillId="19" borderId="3" xfId="0" applyFont="1" applyFill="1" applyBorder="1" applyAlignment="1" applyProtection="1">
      <alignment horizontal="center" vertical="center" wrapText="1"/>
      <protection locked="0"/>
    </xf>
    <xf numFmtId="0" fontId="33" fillId="19" borderId="9" xfId="0" applyFont="1" applyFill="1" applyBorder="1" applyAlignment="1" applyProtection="1">
      <alignment horizontal="left" vertical="center" wrapText="1"/>
      <protection locked="0"/>
    </xf>
    <xf numFmtId="0" fontId="35" fillId="19" borderId="9" xfId="0" applyFont="1" applyFill="1" applyBorder="1" applyAlignment="1" applyProtection="1">
      <alignment horizontal="center" vertical="center" wrapText="1"/>
      <protection hidden="1"/>
    </xf>
    <xf numFmtId="0" fontId="43" fillId="19" borderId="4" xfId="0" applyFont="1" applyFill="1" applyBorder="1" applyAlignment="1">
      <alignment horizontal="center" vertical="center" wrapText="1"/>
    </xf>
    <xf numFmtId="0" fontId="43" fillId="19" borderId="4" xfId="0" applyFont="1" applyFill="1" applyBorder="1" applyAlignment="1">
      <alignment horizontal="left" vertical="center" wrapText="1"/>
    </xf>
    <xf numFmtId="0" fontId="33" fillId="19" borderId="80" xfId="0" applyFont="1" applyFill="1" applyBorder="1" applyAlignment="1" applyProtection="1">
      <alignment horizontal="left" vertical="center" wrapText="1"/>
      <protection locked="0"/>
    </xf>
    <xf numFmtId="0" fontId="35" fillId="19" borderId="80" xfId="0" applyFont="1" applyFill="1" applyBorder="1" applyAlignment="1" applyProtection="1">
      <alignment horizontal="center" vertical="center" wrapText="1"/>
      <protection hidden="1"/>
    </xf>
    <xf numFmtId="0" fontId="40" fillId="19" borderId="4"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0" fontId="52" fillId="4" borderId="0" xfId="0" applyFont="1" applyFill="1" applyBorder="1" applyAlignment="1">
      <alignment wrapText="1"/>
    </xf>
    <xf numFmtId="0" fontId="53" fillId="12" borderId="3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51" fillId="0" borderId="0" xfId="0" applyFont="1" applyBorder="1" applyAlignment="1">
      <alignment horizontal="center" wrapText="1"/>
    </xf>
    <xf numFmtId="0" fontId="53" fillId="13" borderId="3" xfId="0" applyFont="1" applyFill="1" applyBorder="1" applyAlignment="1">
      <alignment horizontal="center" vertical="center" wrapText="1"/>
    </xf>
    <xf numFmtId="0" fontId="53" fillId="0" borderId="0" xfId="0" applyFont="1" applyFill="1" applyBorder="1" applyAlignment="1">
      <alignment vertical="center"/>
    </xf>
    <xf numFmtId="0" fontId="46" fillId="0" borderId="3" xfId="0" applyFont="1" applyFill="1" applyBorder="1" applyAlignment="1" applyProtection="1">
      <alignment horizontal="center" vertical="center"/>
      <protection hidden="1"/>
    </xf>
    <xf numFmtId="9" fontId="46" fillId="0" borderId="0" xfId="0" applyNumberFormat="1" applyFont="1" applyFill="1" applyBorder="1" applyAlignment="1">
      <alignment vertical="center"/>
    </xf>
    <xf numFmtId="9" fontId="55" fillId="14" borderId="3" xfId="0" applyNumberFormat="1" applyFont="1" applyFill="1" applyBorder="1" applyAlignment="1" applyProtection="1">
      <alignment horizontal="center" vertical="center"/>
      <protection hidden="1"/>
    </xf>
    <xf numFmtId="0" fontId="53" fillId="15" borderId="3"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11" borderId="3" xfId="0" applyFont="1" applyFill="1" applyBorder="1" applyAlignment="1">
      <alignment horizontal="center" vertical="center" wrapText="1"/>
    </xf>
    <xf numFmtId="0" fontId="53" fillId="9" borderId="3" xfId="0" applyFont="1" applyFill="1" applyBorder="1" applyAlignment="1">
      <alignment horizontal="center" vertical="center" wrapText="1"/>
    </xf>
    <xf numFmtId="0" fontId="46" fillId="0" borderId="3" xfId="0" applyFont="1" applyFill="1" applyBorder="1" applyAlignment="1">
      <alignment horizontal="center" vertical="center"/>
    </xf>
    <xf numFmtId="49" fontId="51" fillId="4" borderId="2" xfId="0" applyNumberFormat="1" applyFont="1" applyFill="1" applyBorder="1" applyAlignment="1" applyProtection="1">
      <alignment horizontal="center" vertical="center" wrapText="1"/>
      <protection locked="0"/>
    </xf>
    <xf numFmtId="49" fontId="51" fillId="4" borderId="3" xfId="0" applyNumberFormat="1" applyFont="1" applyFill="1" applyBorder="1" applyAlignment="1" applyProtection="1">
      <alignment horizontal="center" vertical="center" wrapText="1"/>
      <protection locked="0"/>
    </xf>
    <xf numFmtId="49" fontId="51" fillId="4" borderId="4" xfId="0" applyNumberFormat="1" applyFont="1" applyFill="1" applyBorder="1" applyAlignment="1" applyProtection="1">
      <alignment horizontal="center" vertical="center" wrapText="1"/>
      <protection locked="0"/>
    </xf>
    <xf numFmtId="0" fontId="51" fillId="4" borderId="0" xfId="0" applyFont="1" applyFill="1" applyBorder="1"/>
    <xf numFmtId="0" fontId="51" fillId="0" borderId="0" xfId="0" applyFont="1" applyBorder="1"/>
    <xf numFmtId="0" fontId="51" fillId="0" borderId="0" xfId="0" applyFont="1" applyFill="1" applyBorder="1"/>
    <xf numFmtId="0" fontId="51" fillId="0" borderId="0" xfId="0" applyFont="1" applyBorder="1" applyAlignment="1">
      <alignment horizontal="center"/>
    </xf>
    <xf numFmtId="0" fontId="51" fillId="0" borderId="3" xfId="0" applyFont="1" applyBorder="1"/>
    <xf numFmtId="0" fontId="23" fillId="4" borderId="59" xfId="3" applyFont="1" applyFill="1" applyBorder="1" applyAlignment="1" applyProtection="1">
      <alignment horizontal="left" vertical="top" wrapText="1"/>
    </xf>
    <xf numFmtId="0" fontId="23" fillId="4" borderId="0" xfId="3" applyFont="1" applyFill="1" applyBorder="1" applyAlignment="1" applyProtection="1">
      <alignment horizontal="left" vertical="top" wrapText="1"/>
    </xf>
    <xf numFmtId="0" fontId="23" fillId="4" borderId="60" xfId="3" applyFont="1" applyFill="1" applyBorder="1" applyAlignment="1" applyProtection="1">
      <alignment horizontal="left" vertical="top" wrapText="1"/>
    </xf>
    <xf numFmtId="0" fontId="23" fillId="4" borderId="0" xfId="3" applyFont="1" applyFill="1" applyBorder="1" applyAlignment="1" applyProtection="1"/>
    <xf numFmtId="0" fontId="31" fillId="4" borderId="77" xfId="0" applyFont="1" applyFill="1" applyBorder="1" applyAlignment="1" applyProtection="1">
      <alignment horizontal="left" vertical="center" wrapText="1"/>
    </xf>
    <xf numFmtId="0" fontId="31" fillId="4" borderId="78" xfId="0" applyFont="1" applyFill="1" applyBorder="1" applyAlignment="1" applyProtection="1">
      <alignment horizontal="left" vertical="center" wrapText="1"/>
    </xf>
    <xf numFmtId="0" fontId="32" fillId="0" borderId="69" xfId="3" applyFont="1" applyFill="1" applyBorder="1" applyAlignment="1" applyProtection="1">
      <alignment horizontal="left" vertical="center" wrapText="1"/>
    </xf>
    <xf numFmtId="0" fontId="32" fillId="0" borderId="70" xfId="3" applyFont="1" applyFill="1" applyBorder="1" applyAlignment="1" applyProtection="1">
      <alignment horizontal="left" vertical="center" wrapText="1"/>
    </xf>
    <xf numFmtId="0" fontId="15" fillId="2" borderId="44" xfId="2" applyNumberFormat="1" applyFont="1" applyFill="1" applyBorder="1" applyAlignment="1" applyProtection="1">
      <alignment horizontal="center" vertical="center" wrapText="1"/>
    </xf>
    <xf numFmtId="0" fontId="15" fillId="2" borderId="45" xfId="2" applyNumberFormat="1" applyFont="1" applyFill="1" applyBorder="1" applyAlignment="1" applyProtection="1">
      <alignment horizontal="center" vertical="center" wrapText="1"/>
    </xf>
    <xf numFmtId="0" fontId="22" fillId="7" borderId="50" xfId="2" applyNumberFormat="1" applyFont="1" applyFill="1" applyBorder="1" applyAlignment="1" applyProtection="1">
      <alignment horizontal="center" vertical="center"/>
    </xf>
    <xf numFmtId="0" fontId="22" fillId="7" borderId="51" xfId="2" applyNumberFormat="1" applyFont="1" applyFill="1" applyBorder="1" applyAlignment="1" applyProtection="1">
      <alignment horizontal="center" vertical="center"/>
    </xf>
    <xf numFmtId="0" fontId="23" fillId="0" borderId="56" xfId="2" applyFont="1" applyFill="1" applyBorder="1" applyAlignment="1" applyProtection="1">
      <alignment horizontal="justify" vertical="center" wrapText="1"/>
    </xf>
    <xf numFmtId="0" fontId="23" fillId="0" borderId="57" xfId="2" applyFont="1" applyFill="1" applyBorder="1" applyAlignment="1" applyProtection="1">
      <alignment horizontal="justify" vertical="center" wrapText="1"/>
    </xf>
    <xf numFmtId="0" fontId="22" fillId="8" borderId="52" xfId="2" applyNumberFormat="1" applyFont="1" applyFill="1" applyBorder="1" applyAlignment="1" applyProtection="1">
      <alignment horizontal="center" vertical="center" wrapText="1"/>
    </xf>
    <xf numFmtId="0" fontId="22" fillId="8" borderId="53" xfId="2" applyNumberFormat="1" applyFont="1" applyFill="1" applyBorder="1" applyAlignment="1" applyProtection="1">
      <alignment horizontal="center" vertical="center"/>
    </xf>
    <xf numFmtId="0" fontId="23" fillId="0" borderId="53" xfId="2" applyFont="1" applyFill="1" applyBorder="1" applyAlignment="1" applyProtection="1">
      <alignment horizontal="justify" vertical="center" wrapText="1"/>
    </xf>
    <xf numFmtId="0" fontId="23" fillId="0" borderId="54" xfId="2" applyFont="1" applyFill="1" applyBorder="1" applyAlignment="1" applyProtection="1">
      <alignment horizontal="justify" vertical="center" wrapText="1"/>
    </xf>
    <xf numFmtId="0" fontId="34" fillId="4" borderId="71" xfId="2" applyNumberFormat="1" applyFont="1" applyFill="1" applyBorder="1" applyAlignment="1" applyProtection="1">
      <alignment horizontal="center" vertical="center" wrapText="1"/>
    </xf>
    <xf numFmtId="0" fontId="21" fillId="4" borderId="71" xfId="2" applyFont="1" applyFill="1" applyBorder="1" applyAlignment="1" applyProtection="1">
      <alignment horizontal="center" vertical="center" wrapText="1"/>
    </xf>
    <xf numFmtId="0" fontId="15" fillId="2" borderId="46" xfId="2" applyNumberFormat="1" applyFont="1" applyFill="1" applyBorder="1" applyAlignment="1" applyProtection="1">
      <alignment horizontal="center" vertical="center" wrapText="1"/>
    </xf>
    <xf numFmtId="0" fontId="22" fillId="14" borderId="47" xfId="2" applyNumberFormat="1" applyFont="1" applyFill="1" applyBorder="1" applyAlignment="1" applyProtection="1">
      <alignment horizontal="center" vertical="center"/>
    </xf>
    <xf numFmtId="0" fontId="22" fillId="14" borderId="48" xfId="2" applyNumberFormat="1" applyFont="1" applyFill="1" applyBorder="1" applyAlignment="1" applyProtection="1">
      <alignment horizontal="center" vertical="center"/>
    </xf>
    <xf numFmtId="0" fontId="23" fillId="0" borderId="48" xfId="2" applyFont="1" applyFill="1" applyBorder="1" applyAlignment="1" applyProtection="1">
      <alignment horizontal="justify" vertical="center" wrapText="1"/>
    </xf>
    <xf numFmtId="0" fontId="23" fillId="0" borderId="49" xfId="2" applyFont="1" applyFill="1" applyBorder="1" applyAlignment="1" applyProtection="1">
      <alignment horizontal="justify" vertical="center" wrapText="1"/>
    </xf>
    <xf numFmtId="0" fontId="31" fillId="4" borderId="75" xfId="4" applyFont="1" applyFill="1" applyBorder="1" applyAlignment="1" applyProtection="1">
      <alignment horizontal="left" vertical="center" wrapText="1" readingOrder="1"/>
    </xf>
    <xf numFmtId="0" fontId="31" fillId="4" borderId="76" xfId="4" applyFont="1" applyFill="1" applyBorder="1" applyAlignment="1" applyProtection="1">
      <alignment horizontal="left" vertical="center" wrapText="1" readingOrder="1"/>
    </xf>
    <xf numFmtId="0" fontId="32" fillId="0" borderId="65" xfId="3" applyFont="1" applyFill="1" applyBorder="1" applyAlignment="1" applyProtection="1">
      <alignment horizontal="left" vertical="center" wrapText="1"/>
    </xf>
    <xf numFmtId="0" fontId="32" fillId="0" borderId="66" xfId="3" applyFont="1" applyFill="1" applyBorder="1" applyAlignment="1" applyProtection="1">
      <alignment horizontal="left" vertical="center" wrapText="1"/>
    </xf>
    <xf numFmtId="0" fontId="31" fillId="4" borderId="67" xfId="0" applyFont="1" applyFill="1" applyBorder="1" applyAlignment="1" applyProtection="1">
      <alignment horizontal="left" vertical="center" wrapText="1"/>
    </xf>
    <xf numFmtId="0" fontId="31" fillId="4" borderId="68" xfId="0" applyFont="1" applyFill="1" applyBorder="1" applyAlignment="1" applyProtection="1">
      <alignment horizontal="left" vertical="center" wrapText="1"/>
    </xf>
    <xf numFmtId="0" fontId="32" fillId="0" borderId="69" xfId="3" applyFont="1" applyFill="1" applyBorder="1" applyAlignment="1" applyProtection="1">
      <alignment horizontal="left" vertical="top" wrapText="1"/>
    </xf>
    <xf numFmtId="0" fontId="32" fillId="0" borderId="70" xfId="3" applyFont="1" applyFill="1" applyBorder="1" applyAlignment="1" applyProtection="1">
      <alignment horizontal="left" vertical="top" wrapText="1"/>
    </xf>
    <xf numFmtId="0" fontId="27" fillId="0" borderId="58" xfId="3" applyFont="1" applyBorder="1" applyAlignment="1" applyProtection="1">
      <alignment horizontal="center" vertical="center" wrapText="1"/>
    </xf>
    <xf numFmtId="0" fontId="27" fillId="0" borderId="55" xfId="3" applyFont="1" applyBorder="1" applyAlignment="1" applyProtection="1">
      <alignment horizontal="center" vertical="center" wrapText="1"/>
    </xf>
    <xf numFmtId="0" fontId="27" fillId="0" borderId="8" xfId="3" applyFont="1" applyBorder="1" applyAlignment="1" applyProtection="1">
      <alignment horizontal="center" vertical="center" wrapText="1"/>
    </xf>
    <xf numFmtId="0" fontId="23" fillId="0" borderId="59" xfId="3" quotePrefix="1" applyFont="1" applyBorder="1" applyAlignment="1" applyProtection="1">
      <alignment horizontal="left" vertical="center" wrapText="1"/>
    </xf>
    <xf numFmtId="0" fontId="23" fillId="0" borderId="0" xfId="3" quotePrefix="1" applyFont="1" applyBorder="1" applyAlignment="1" applyProtection="1">
      <alignment horizontal="left" vertical="center" wrapText="1"/>
    </xf>
    <xf numFmtId="0" fontId="23" fillId="0" borderId="60" xfId="3" quotePrefix="1" applyFont="1" applyBorder="1" applyAlignment="1" applyProtection="1">
      <alignment horizontal="left" vertical="center" wrapText="1"/>
    </xf>
    <xf numFmtId="0" fontId="28" fillId="4" borderId="59" xfId="3" quotePrefix="1" applyFont="1" applyFill="1" applyBorder="1" applyAlignment="1" applyProtection="1">
      <alignment horizontal="left" vertical="top" wrapText="1"/>
    </xf>
    <xf numFmtId="0" fontId="22" fillId="4" borderId="0" xfId="3" quotePrefix="1" applyFont="1" applyFill="1" applyBorder="1" applyAlignment="1" applyProtection="1">
      <alignment horizontal="left" vertical="top" wrapText="1"/>
    </xf>
    <xf numFmtId="0" fontId="22" fillId="4" borderId="60" xfId="3" quotePrefix="1" applyFont="1" applyFill="1" applyBorder="1" applyAlignment="1" applyProtection="1">
      <alignment horizontal="left" vertical="top" wrapText="1"/>
    </xf>
    <xf numFmtId="0" fontId="23" fillId="4" borderId="59" xfId="3" quotePrefix="1" applyFont="1" applyFill="1" applyBorder="1" applyAlignment="1" applyProtection="1">
      <alignment horizontal="left" vertical="top" wrapText="1"/>
    </xf>
    <xf numFmtId="0" fontId="23" fillId="4" borderId="0" xfId="3" quotePrefix="1" applyFont="1" applyFill="1" applyBorder="1" applyAlignment="1" applyProtection="1">
      <alignment horizontal="left" vertical="top" wrapText="1"/>
    </xf>
    <xf numFmtId="0" fontId="23" fillId="4" borderId="60" xfId="3" quotePrefix="1" applyFont="1" applyFill="1" applyBorder="1" applyAlignment="1" applyProtection="1">
      <alignment horizontal="left" vertical="top" wrapText="1"/>
    </xf>
    <xf numFmtId="0" fontId="31" fillId="16" borderId="61" xfId="4" applyFont="1" applyFill="1" applyBorder="1" applyAlignment="1" applyProtection="1">
      <alignment horizontal="center" vertical="center" wrapText="1"/>
    </xf>
    <xf numFmtId="0" fontId="31" fillId="16" borderId="62" xfId="4" applyFont="1" applyFill="1" applyBorder="1" applyAlignment="1" applyProtection="1">
      <alignment horizontal="center" vertical="center" wrapText="1"/>
    </xf>
    <xf numFmtId="0" fontId="31" fillId="16" borderId="63" xfId="3" applyFont="1" applyFill="1" applyBorder="1" applyAlignment="1" applyProtection="1">
      <alignment horizontal="center" vertical="center"/>
    </xf>
    <xf numFmtId="0" fontId="31" fillId="16" borderId="64" xfId="3" applyFont="1" applyFill="1" applyBorder="1" applyAlignment="1" applyProtection="1">
      <alignment horizontal="center" vertical="center"/>
    </xf>
    <xf numFmtId="49" fontId="42" fillId="5" borderId="0" xfId="0" applyNumberFormat="1" applyFont="1" applyFill="1" applyBorder="1" applyAlignment="1">
      <alignment horizontal="center" vertical="center"/>
    </xf>
    <xf numFmtId="0" fontId="41" fillId="11" borderId="11" xfId="0" applyFont="1" applyFill="1" applyBorder="1" applyAlignment="1">
      <alignment horizontal="center" vertical="center" wrapText="1"/>
    </xf>
    <xf numFmtId="0" fontId="41" fillId="11" borderId="12" xfId="0" applyFont="1" applyFill="1" applyBorder="1" applyAlignment="1">
      <alignment horizontal="center" vertical="center" wrapText="1"/>
    </xf>
    <xf numFmtId="0" fontId="41" fillId="11" borderId="13" xfId="0" applyFont="1" applyFill="1" applyBorder="1" applyAlignment="1">
      <alignment horizontal="center" vertical="center" wrapText="1"/>
    </xf>
    <xf numFmtId="49" fontId="41" fillId="11" borderId="14" xfId="0" applyNumberFormat="1" applyFont="1" applyFill="1" applyBorder="1" applyAlignment="1">
      <alignment horizontal="center" vertical="center" wrapText="1"/>
    </xf>
    <xf numFmtId="49" fontId="41" fillId="11" borderId="15" xfId="0" applyNumberFormat="1" applyFont="1" applyFill="1" applyBorder="1" applyAlignment="1">
      <alignment horizontal="center" vertical="center" wrapText="1"/>
    </xf>
    <xf numFmtId="49" fontId="41" fillId="11" borderId="16" xfId="0" applyNumberFormat="1" applyFont="1" applyFill="1" applyBorder="1" applyAlignment="1">
      <alignment horizontal="center" vertical="center" wrapText="1"/>
    </xf>
    <xf numFmtId="0" fontId="41" fillId="9" borderId="11" xfId="0" applyFont="1" applyFill="1" applyBorder="1" applyAlignment="1">
      <alignment horizontal="center" vertical="center" wrapText="1"/>
    </xf>
    <xf numFmtId="0" fontId="41" fillId="9" borderId="12" xfId="0" applyFont="1" applyFill="1" applyBorder="1" applyAlignment="1">
      <alignment horizontal="center" vertical="center" wrapText="1"/>
    </xf>
    <xf numFmtId="0" fontId="41" fillId="9" borderId="13" xfId="0" applyFont="1" applyFill="1" applyBorder="1" applyAlignment="1">
      <alignment horizontal="center" vertical="center" wrapText="1"/>
    </xf>
    <xf numFmtId="49" fontId="41" fillId="9" borderId="14" xfId="0" applyNumberFormat="1" applyFont="1" applyFill="1" applyBorder="1" applyAlignment="1">
      <alignment horizontal="center" vertical="center" wrapText="1"/>
    </xf>
    <xf numFmtId="49" fontId="41" fillId="9" borderId="15" xfId="0" applyNumberFormat="1" applyFont="1" applyFill="1" applyBorder="1" applyAlignment="1">
      <alignment horizontal="center" vertical="center" wrapText="1"/>
    </xf>
    <xf numFmtId="49" fontId="41" fillId="9" borderId="16" xfId="0" applyNumberFormat="1" applyFont="1" applyFill="1" applyBorder="1" applyAlignment="1">
      <alignment horizontal="center" vertical="center" wrapText="1"/>
    </xf>
    <xf numFmtId="0" fontId="43" fillId="18" borderId="11" xfId="0" applyFont="1" applyFill="1" applyBorder="1" applyAlignment="1">
      <alignment horizontal="center" vertical="top" wrapText="1"/>
    </xf>
    <xf numFmtId="0" fontId="43" fillId="18" borderId="12" xfId="0" applyFont="1" applyFill="1" applyBorder="1" applyAlignment="1">
      <alignment horizontal="center" vertical="top" wrapText="1"/>
    </xf>
    <xf numFmtId="0" fontId="43" fillId="18" borderId="13" xfId="0" applyFont="1" applyFill="1" applyBorder="1" applyAlignment="1">
      <alignment horizontal="center" vertical="top" wrapText="1"/>
    </xf>
    <xf numFmtId="49" fontId="33" fillId="18" borderId="14" xfId="0" applyNumberFormat="1" applyFont="1" applyFill="1" applyBorder="1" applyAlignment="1">
      <alignment horizontal="center" vertical="top" wrapText="1"/>
    </xf>
    <xf numFmtId="49" fontId="33" fillId="18" borderId="15" xfId="0" applyNumberFormat="1" applyFont="1" applyFill="1" applyBorder="1" applyAlignment="1">
      <alignment horizontal="center" vertical="top" wrapText="1"/>
    </xf>
    <xf numFmtId="49" fontId="33" fillId="18" borderId="16" xfId="0" applyNumberFormat="1" applyFont="1" applyFill="1" applyBorder="1" applyAlignment="1">
      <alignment horizontal="center" vertical="top" wrapText="1"/>
    </xf>
    <xf numFmtId="49" fontId="33" fillId="19" borderId="14" xfId="0" applyNumberFormat="1" applyFont="1" applyFill="1" applyBorder="1" applyAlignment="1">
      <alignment horizontal="center" vertical="top" wrapText="1"/>
    </xf>
    <xf numFmtId="49" fontId="33" fillId="19" borderId="15" xfId="0" applyNumberFormat="1" applyFont="1" applyFill="1" applyBorder="1" applyAlignment="1">
      <alignment horizontal="center" vertical="top" wrapText="1"/>
    </xf>
    <xf numFmtId="49" fontId="33" fillId="19" borderId="16" xfId="0" applyNumberFormat="1" applyFont="1" applyFill="1" applyBorder="1" applyAlignment="1">
      <alignment horizontal="center" vertical="top" wrapText="1"/>
    </xf>
    <xf numFmtId="0" fontId="43" fillId="19" borderId="11" xfId="0" applyFont="1" applyFill="1" applyBorder="1" applyAlignment="1">
      <alignment horizontal="center" vertical="top" wrapText="1"/>
    </xf>
    <xf numFmtId="0" fontId="43" fillId="19" borderId="12" xfId="0" applyFont="1" applyFill="1" applyBorder="1" applyAlignment="1">
      <alignment horizontal="center" vertical="top" wrapText="1"/>
    </xf>
    <xf numFmtId="0" fontId="43" fillId="19" borderId="13" xfId="0" applyFont="1" applyFill="1" applyBorder="1" applyAlignment="1">
      <alignment horizontal="center" vertical="top" wrapText="1"/>
    </xf>
    <xf numFmtId="0" fontId="41" fillId="9" borderId="6" xfId="0" applyFont="1" applyFill="1" applyBorder="1" applyAlignment="1">
      <alignment horizontal="center" vertical="center" wrapText="1"/>
    </xf>
    <xf numFmtId="49" fontId="50" fillId="18" borderId="11" xfId="0" applyNumberFormat="1" applyFont="1" applyFill="1" applyBorder="1" applyAlignment="1">
      <alignment horizontal="center" vertical="top" wrapText="1"/>
    </xf>
    <xf numFmtId="49" fontId="50" fillId="18" borderId="12" xfId="0" applyNumberFormat="1" applyFont="1" applyFill="1" applyBorder="1" applyAlignment="1">
      <alignment horizontal="center" vertical="top" wrapText="1"/>
    </xf>
    <xf numFmtId="49" fontId="50" fillId="18" borderId="13" xfId="0" applyNumberFormat="1" applyFont="1" applyFill="1" applyBorder="1" applyAlignment="1">
      <alignment horizontal="center" vertical="top" wrapText="1"/>
    </xf>
    <xf numFmtId="49" fontId="50" fillId="19" borderId="11" xfId="0" applyNumberFormat="1" applyFont="1" applyFill="1" applyBorder="1" applyAlignment="1">
      <alignment horizontal="center" vertical="top" wrapText="1"/>
    </xf>
    <xf numFmtId="49" fontId="50" fillId="19" borderId="12" xfId="0" applyNumberFormat="1" applyFont="1" applyFill="1" applyBorder="1" applyAlignment="1">
      <alignment horizontal="center" vertical="top" wrapText="1"/>
    </xf>
    <xf numFmtId="49" fontId="50" fillId="19" borderId="13" xfId="0" applyNumberFormat="1" applyFont="1" applyFill="1" applyBorder="1" applyAlignment="1">
      <alignment horizontal="center" vertical="top" wrapText="1"/>
    </xf>
    <xf numFmtId="49" fontId="41" fillId="2" borderId="11" xfId="0" applyNumberFormat="1" applyFont="1" applyFill="1" applyBorder="1" applyAlignment="1">
      <alignment horizontal="center" vertical="center" wrapText="1"/>
    </xf>
    <xf numFmtId="49" fontId="41" fillId="2" borderId="12" xfId="0" applyNumberFormat="1" applyFont="1" applyFill="1" applyBorder="1" applyAlignment="1">
      <alignment horizontal="center" vertical="center" wrapText="1"/>
    </xf>
    <xf numFmtId="49" fontId="41" fillId="2" borderId="13" xfId="0" applyNumberFormat="1" applyFont="1" applyFill="1" applyBorder="1" applyAlignment="1">
      <alignment horizontal="center" vertical="center" wrapText="1"/>
    </xf>
    <xf numFmtId="49" fontId="41" fillId="11" borderId="11" xfId="0" applyNumberFormat="1" applyFont="1" applyFill="1" applyBorder="1" applyAlignment="1">
      <alignment horizontal="center" vertical="center" wrapText="1"/>
    </xf>
    <xf numFmtId="49" fontId="41" fillId="11" borderId="12" xfId="0" applyNumberFormat="1" applyFont="1" applyFill="1" applyBorder="1" applyAlignment="1">
      <alignment horizontal="center" vertical="center" wrapText="1"/>
    </xf>
    <xf numFmtId="49" fontId="41" fillId="11" borderId="13" xfId="0" applyNumberFormat="1" applyFont="1" applyFill="1" applyBorder="1" applyAlignment="1">
      <alignment horizontal="center" vertical="center" wrapText="1"/>
    </xf>
    <xf numFmtId="49" fontId="41" fillId="9" borderId="11" xfId="0" applyNumberFormat="1" applyFont="1" applyFill="1" applyBorder="1" applyAlignment="1">
      <alignment horizontal="center" vertical="center" wrapText="1"/>
    </xf>
    <xf numFmtId="49" fontId="41" fillId="9" borderId="12" xfId="0" applyNumberFormat="1" applyFont="1" applyFill="1" applyBorder="1" applyAlignment="1">
      <alignment horizontal="center" vertical="center" wrapText="1"/>
    </xf>
    <xf numFmtId="49" fontId="41" fillId="9" borderId="13" xfId="0" applyNumberFormat="1" applyFont="1" applyFill="1" applyBorder="1" applyAlignment="1">
      <alignment horizontal="center" vertical="center" wrapText="1"/>
    </xf>
    <xf numFmtId="49" fontId="50" fillId="17" borderId="3" xfId="0" applyNumberFormat="1" applyFont="1" applyFill="1" applyBorder="1" applyAlignment="1">
      <alignment horizontal="center" vertical="top" wrapText="1"/>
    </xf>
    <xf numFmtId="49" fontId="41" fillId="10" borderId="12" xfId="0" applyNumberFormat="1" applyFont="1" applyFill="1" applyBorder="1" applyAlignment="1">
      <alignment horizontal="center" vertical="top" wrapText="1"/>
    </xf>
    <xf numFmtId="0" fontId="43" fillId="17" borderId="3" xfId="0" applyFont="1" applyFill="1" applyBorder="1" applyAlignment="1">
      <alignment horizontal="center" vertical="top" wrapText="1"/>
    </xf>
    <xf numFmtId="49" fontId="43" fillId="17" borderId="3" xfId="0" applyNumberFormat="1" applyFont="1" applyFill="1" applyBorder="1" applyAlignment="1">
      <alignment horizontal="center" vertical="top" wrapText="1"/>
    </xf>
    <xf numFmtId="49" fontId="41" fillId="10" borderId="15" xfId="0" applyNumberFormat="1" applyFont="1" applyFill="1" applyBorder="1" applyAlignment="1">
      <alignment horizontal="center" vertical="top" wrapText="1"/>
    </xf>
    <xf numFmtId="0" fontId="41" fillId="10" borderId="12" xfId="0" applyFont="1" applyFill="1" applyBorder="1" applyAlignment="1">
      <alignment horizontal="center" vertical="center" wrapText="1"/>
    </xf>
    <xf numFmtId="49" fontId="41" fillId="2" borderId="14" xfId="0" applyNumberFormat="1" applyFont="1" applyFill="1" applyBorder="1" applyAlignment="1">
      <alignment horizontal="center" vertical="center" wrapText="1"/>
    </xf>
    <xf numFmtId="49" fontId="41" fillId="2" borderId="15" xfId="0" applyNumberFormat="1" applyFont="1" applyFill="1" applyBorder="1" applyAlignment="1">
      <alignment horizontal="center" vertical="center" wrapText="1"/>
    </xf>
    <xf numFmtId="49" fontId="41" fillId="2" borderId="16" xfId="0" applyNumberFormat="1"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7" fillId="3" borderId="32" xfId="2" applyFont="1" applyFill="1" applyBorder="1" applyAlignment="1" applyProtection="1">
      <alignment horizontal="center" vertical="center" wrapText="1"/>
    </xf>
    <xf numFmtId="0" fontId="17" fillId="3" borderId="33" xfId="2" applyFont="1" applyFill="1" applyBorder="1" applyAlignment="1" applyProtection="1">
      <alignment horizontal="center" vertical="center" wrapText="1"/>
    </xf>
    <xf numFmtId="0" fontId="20" fillId="6" borderId="14" xfId="0" applyFont="1" applyFill="1" applyBorder="1" applyAlignment="1">
      <alignment horizontal="center" vertical="center" textRotation="90" wrapText="1"/>
    </xf>
    <xf numFmtId="0" fontId="20" fillId="6" borderId="15" xfId="0" applyFont="1" applyFill="1" applyBorder="1" applyAlignment="1">
      <alignment horizontal="center" vertical="center" textRotation="90" wrapText="1"/>
    </xf>
    <xf numFmtId="0" fontId="20" fillId="6" borderId="16" xfId="0" applyFont="1" applyFill="1" applyBorder="1" applyAlignment="1">
      <alignment horizontal="center" vertical="center" textRotation="90" wrapText="1"/>
    </xf>
    <xf numFmtId="0" fontId="17" fillId="2" borderId="37" xfId="2" applyFont="1" applyFill="1" applyBorder="1" applyAlignment="1" applyProtection="1">
      <alignment horizontal="center" vertical="center" wrapText="1"/>
    </xf>
    <xf numFmtId="0" fontId="17" fillId="2" borderId="83" xfId="2" applyFont="1" applyFill="1" applyBorder="1" applyAlignment="1" applyProtection="1">
      <alignment horizontal="center" vertical="center" wrapText="1"/>
    </xf>
    <xf numFmtId="0" fontId="17" fillId="2" borderId="38" xfId="2" applyFont="1" applyFill="1" applyBorder="1" applyAlignment="1" applyProtection="1">
      <alignment horizontal="center" vertical="center" wrapText="1"/>
    </xf>
    <xf numFmtId="0" fontId="17" fillId="2" borderId="39"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17" fillId="2" borderId="42" xfId="2" applyFont="1" applyFill="1" applyBorder="1" applyAlignment="1" applyProtection="1">
      <alignment horizontal="center" vertical="center" wrapText="1"/>
    </xf>
    <xf numFmtId="0" fontId="17" fillId="2" borderId="41"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9" fontId="38" fillId="0" borderId="87" xfId="0" applyNumberFormat="1" applyFont="1" applyBorder="1" applyAlignment="1" applyProtection="1">
      <alignment horizontal="center" vertical="center"/>
      <protection hidden="1"/>
    </xf>
    <xf numFmtId="9" fontId="38" fillId="0" borderId="88" xfId="0" applyNumberFormat="1" applyFont="1" applyBorder="1" applyAlignment="1" applyProtection="1">
      <alignment horizontal="center" vertical="center"/>
      <protection hidden="1"/>
    </xf>
    <xf numFmtId="9" fontId="25" fillId="7" borderId="84" xfId="1" applyFont="1" applyFill="1" applyBorder="1" applyAlignment="1" applyProtection="1">
      <alignment horizontal="center" vertical="center"/>
      <protection hidden="1"/>
    </xf>
    <xf numFmtId="9" fontId="25" fillId="7" borderId="85" xfId="1" applyFont="1" applyFill="1" applyBorder="1" applyAlignment="1" applyProtection="1">
      <alignment horizontal="center" vertical="center"/>
      <protection hidden="1"/>
    </xf>
    <xf numFmtId="9" fontId="25" fillId="7" borderId="86" xfId="1" applyFont="1" applyFill="1" applyBorder="1" applyAlignment="1" applyProtection="1">
      <alignment horizontal="center" vertical="center"/>
      <protection hidden="1"/>
    </xf>
    <xf numFmtId="0" fontId="24" fillId="9" borderId="14" xfId="0" applyFont="1" applyFill="1" applyBorder="1" applyAlignment="1">
      <alignment horizontal="center" vertical="center" textRotation="90"/>
    </xf>
    <xf numFmtId="0" fontId="24" fillId="9" borderId="15" xfId="0" applyFont="1" applyFill="1" applyBorder="1" applyAlignment="1">
      <alignment horizontal="center" vertical="center" textRotation="90"/>
    </xf>
    <xf numFmtId="0" fontId="24" fillId="9" borderId="16" xfId="0" applyFont="1" applyFill="1" applyBorder="1" applyAlignment="1">
      <alignment horizontal="center" vertical="center" textRotation="90"/>
    </xf>
    <xf numFmtId="9" fontId="38" fillId="4" borderId="87" xfId="0" applyNumberFormat="1" applyFont="1" applyFill="1" applyBorder="1" applyAlignment="1" applyProtection="1">
      <alignment horizontal="center" vertical="center"/>
      <protection hidden="1"/>
    </xf>
    <xf numFmtId="9" fontId="38" fillId="4" borderId="88" xfId="0" applyNumberFormat="1" applyFont="1" applyFill="1" applyBorder="1" applyAlignment="1" applyProtection="1">
      <alignment horizontal="center" vertical="center"/>
      <protection hidden="1"/>
    </xf>
    <xf numFmtId="9" fontId="38" fillId="4" borderId="89" xfId="0" applyNumberFormat="1" applyFont="1" applyFill="1" applyBorder="1" applyAlignment="1" applyProtection="1">
      <alignment horizontal="center" vertical="center"/>
      <protection hidden="1"/>
    </xf>
    <xf numFmtId="0" fontId="24" fillId="11" borderId="15" xfId="0" applyFont="1" applyFill="1" applyBorder="1" applyAlignment="1">
      <alignment horizontal="center" vertical="center" textRotation="90"/>
    </xf>
    <xf numFmtId="0" fontId="24" fillId="2" borderId="14" xfId="0" applyFont="1" applyFill="1" applyBorder="1" applyAlignment="1">
      <alignment horizontal="center" vertical="center" textRotation="90"/>
    </xf>
    <xf numFmtId="0" fontId="24" fillId="2" borderId="15" xfId="0" applyFont="1" applyFill="1" applyBorder="1" applyAlignment="1">
      <alignment horizontal="center" vertical="center" textRotation="90"/>
    </xf>
    <xf numFmtId="0" fontId="24" fillId="2" borderId="16" xfId="0" applyFont="1" applyFill="1" applyBorder="1" applyAlignment="1">
      <alignment horizontal="center" vertical="center" textRotation="90"/>
    </xf>
    <xf numFmtId="9" fontId="38" fillId="0" borderId="89" xfId="0" applyNumberFormat="1" applyFont="1" applyBorder="1" applyAlignment="1" applyProtection="1">
      <alignment horizontal="center" vertical="center"/>
      <protection hidden="1"/>
    </xf>
    <xf numFmtId="0" fontId="24" fillId="10" borderId="14" xfId="0" applyFont="1" applyFill="1" applyBorder="1" applyAlignment="1">
      <alignment horizontal="center" vertical="center" textRotation="90"/>
    </xf>
    <xf numFmtId="0" fontId="24" fillId="10" borderId="15" xfId="0" applyFont="1" applyFill="1" applyBorder="1" applyAlignment="1">
      <alignment horizontal="center" vertical="center" textRotation="90"/>
    </xf>
    <xf numFmtId="0" fontId="51" fillId="0" borderId="24" xfId="0" applyFont="1" applyBorder="1" applyAlignment="1" applyProtection="1">
      <alignment horizontal="left" vertical="top" wrapText="1"/>
      <protection locked="0"/>
    </xf>
    <xf numFmtId="0" fontId="51" fillId="0" borderId="1" xfId="0" applyFont="1" applyBorder="1" applyAlignment="1" applyProtection="1">
      <alignment horizontal="left" vertical="top" wrapText="1"/>
      <protection locked="0"/>
    </xf>
    <xf numFmtId="0" fontId="51" fillId="0" borderId="25" xfId="0" applyFont="1" applyBorder="1" applyAlignment="1" applyProtection="1">
      <alignment horizontal="left" vertical="top" wrapText="1"/>
      <protection locked="0"/>
    </xf>
    <xf numFmtId="0" fontId="53" fillId="12" borderId="0" xfId="0" applyFont="1" applyFill="1" applyBorder="1" applyAlignment="1">
      <alignment horizontal="center" vertical="center" wrapText="1"/>
    </xf>
    <xf numFmtId="0" fontId="56" fillId="0" borderId="24" xfId="0" applyFont="1" applyFill="1" applyBorder="1" applyAlignment="1" applyProtection="1">
      <alignment horizontal="left" vertical="top" wrapText="1"/>
      <protection locked="0"/>
    </xf>
    <xf numFmtId="0" fontId="56" fillId="0" borderId="1" xfId="0" applyFont="1" applyFill="1" applyBorder="1" applyAlignment="1" applyProtection="1">
      <alignment horizontal="left" vertical="top" wrapText="1"/>
      <protection locked="0"/>
    </xf>
    <xf numFmtId="0" fontId="56" fillId="0" borderId="25" xfId="0" applyFont="1" applyFill="1" applyBorder="1" applyAlignment="1" applyProtection="1">
      <alignment horizontal="left" vertical="top" wrapText="1"/>
      <protection locked="0"/>
    </xf>
    <xf numFmtId="0" fontId="51" fillId="0" borderId="73" xfId="0" applyFont="1" applyBorder="1" applyAlignment="1">
      <alignment horizontal="center"/>
    </xf>
    <xf numFmtId="0" fontId="51" fillId="0" borderId="1" xfId="0" applyFont="1" applyBorder="1" applyAlignment="1">
      <alignment horizontal="center"/>
    </xf>
    <xf numFmtId="49" fontId="46" fillId="4" borderId="91" xfId="0" applyNumberFormat="1" applyFont="1" applyFill="1" applyBorder="1" applyAlignment="1">
      <alignment horizontal="left" vertical="center" wrapText="1"/>
    </xf>
    <xf numFmtId="49" fontId="46" fillId="4" borderId="3" xfId="0" applyNumberFormat="1" applyFont="1" applyFill="1" applyBorder="1" applyAlignment="1">
      <alignment horizontal="left" vertical="center" wrapText="1"/>
    </xf>
    <xf numFmtId="49" fontId="46" fillId="4" borderId="92" xfId="0" applyNumberFormat="1" applyFont="1" applyFill="1" applyBorder="1" applyAlignment="1">
      <alignment horizontal="left" vertical="center" wrapText="1"/>
    </xf>
    <xf numFmtId="49" fontId="46" fillId="4" borderId="4" xfId="0" applyNumberFormat="1" applyFont="1" applyFill="1" applyBorder="1" applyAlignment="1">
      <alignment horizontal="left" vertical="center" wrapText="1"/>
    </xf>
    <xf numFmtId="0" fontId="47" fillId="2" borderId="7"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49" fillId="4" borderId="3" xfId="0" applyFont="1" applyFill="1" applyBorder="1" applyAlignment="1" applyProtection="1">
      <alignment horizontal="center" vertical="center"/>
      <protection locked="0"/>
    </xf>
    <xf numFmtId="164" fontId="49" fillId="4" borderId="22" xfId="0" applyNumberFormat="1" applyFont="1" applyFill="1" applyBorder="1" applyAlignment="1" applyProtection="1">
      <alignment horizontal="center" vertical="center"/>
      <protection locked="0"/>
    </xf>
    <xf numFmtId="164" fontId="49" fillId="4" borderId="23" xfId="0" applyNumberFormat="1" applyFont="1" applyFill="1" applyBorder="1" applyAlignment="1" applyProtection="1">
      <alignment horizontal="center" vertical="center"/>
      <protection locked="0"/>
    </xf>
    <xf numFmtId="164" fontId="49" fillId="4" borderId="9" xfId="0" applyNumberFormat="1" applyFont="1" applyFill="1" applyBorder="1" applyAlignment="1" applyProtection="1">
      <alignment horizontal="center" vertical="center"/>
      <protection locked="0"/>
    </xf>
    <xf numFmtId="0" fontId="48" fillId="2" borderId="24"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6" fillId="4" borderId="90" xfId="0" applyNumberFormat="1" applyFont="1" applyFill="1" applyBorder="1" applyAlignment="1">
      <alignment horizontal="left" vertical="center" wrapText="1"/>
    </xf>
    <xf numFmtId="49" fontId="46" fillId="4" borderId="2" xfId="0" applyNumberFormat="1" applyFont="1" applyFill="1" applyBorder="1" applyAlignment="1">
      <alignment horizontal="left" vertical="center" wrapText="1"/>
    </xf>
    <xf numFmtId="49" fontId="51" fillId="4" borderId="2" xfId="0" applyNumberFormat="1" applyFont="1" applyFill="1" applyBorder="1" applyAlignment="1" applyProtection="1">
      <alignment horizontal="left" vertical="top" wrapText="1"/>
      <protection locked="0"/>
    </xf>
    <xf numFmtId="49" fontId="51" fillId="4" borderId="84"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85"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1126332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 val="Instructivo"/>
      <sheetName val="Definiciones"/>
      <sheetName val="Ambiente de Control"/>
      <sheetName val="Evaluación de riesgos"/>
      <sheetName val="Actividades de control"/>
      <sheetName val="Info y Comunicación"/>
      <sheetName val="Actividades de Monitoreo"/>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14" zoomScale="110" zoomScaleNormal="110" workbookViewId="0">
      <selection activeCell="F26" sqref="F26"/>
    </sheetView>
  </sheetViews>
  <sheetFormatPr baseColWidth="10" defaultColWidth="0" defaultRowHeight="12.75" zeroHeight="1" x14ac:dyDescent="0.2"/>
  <cols>
    <col min="1" max="1" width="3.85546875" style="39" customWidth="1"/>
    <col min="2" max="2" width="15.28515625" style="39" customWidth="1"/>
    <col min="3" max="3" width="17.28515625" style="39" customWidth="1"/>
    <col min="4" max="4" width="28.5703125" style="39" customWidth="1"/>
    <col min="5" max="5" width="12.85546875" style="39" customWidth="1"/>
    <col min="6" max="6" width="47.140625" style="39" customWidth="1"/>
    <col min="7" max="7" width="21.42578125" style="39" customWidth="1"/>
    <col min="8" max="8" width="6.5703125" style="39" customWidth="1"/>
    <col min="9" max="9" width="2.5703125" style="39" customWidth="1"/>
    <col min="10" max="16384" width="11.42578125" style="39" hidden="1"/>
  </cols>
  <sheetData>
    <row r="1" spans="2:8" ht="13.5" thickBot="1" x14ac:dyDescent="0.25"/>
    <row r="2" spans="2:8" ht="73.5" customHeight="1" x14ac:dyDescent="0.2">
      <c r="B2" s="232" t="s">
        <v>0</v>
      </c>
      <c r="C2" s="233"/>
      <c r="D2" s="233"/>
      <c r="E2" s="233"/>
      <c r="F2" s="233"/>
      <c r="G2" s="233"/>
      <c r="H2" s="234"/>
    </row>
    <row r="3" spans="2:8" ht="65.25" customHeight="1" x14ac:dyDescent="0.2">
      <c r="B3" s="235" t="s">
        <v>1</v>
      </c>
      <c r="C3" s="236"/>
      <c r="D3" s="236"/>
      <c r="E3" s="236"/>
      <c r="F3" s="236"/>
      <c r="G3" s="236"/>
      <c r="H3" s="237"/>
    </row>
    <row r="4" spans="2:8" ht="82.5" customHeight="1" x14ac:dyDescent="0.2">
      <c r="B4" s="235"/>
      <c r="C4" s="236"/>
      <c r="D4" s="236"/>
      <c r="E4" s="236"/>
      <c r="F4" s="236"/>
      <c r="G4" s="236"/>
      <c r="H4" s="237"/>
    </row>
    <row r="5" spans="2:8" ht="21.75" customHeight="1" x14ac:dyDescent="0.2">
      <c r="B5" s="238" t="s">
        <v>2</v>
      </c>
      <c r="C5" s="239"/>
      <c r="D5" s="239"/>
      <c r="E5" s="239"/>
      <c r="F5" s="239"/>
      <c r="G5" s="239"/>
      <c r="H5" s="240"/>
    </row>
    <row r="6" spans="2:8" ht="42" customHeight="1" x14ac:dyDescent="0.2">
      <c r="B6" s="241" t="s">
        <v>3</v>
      </c>
      <c r="C6" s="242"/>
      <c r="D6" s="242"/>
      <c r="E6" s="242"/>
      <c r="F6" s="242"/>
      <c r="G6" s="242"/>
      <c r="H6" s="243"/>
    </row>
    <row r="7" spans="2:8" ht="14.25" customHeight="1" x14ac:dyDescent="0.2">
      <c r="B7" s="241"/>
      <c r="C7" s="242"/>
      <c r="D7" s="242"/>
      <c r="E7" s="242"/>
      <c r="F7" s="242"/>
      <c r="G7" s="242"/>
      <c r="H7" s="243"/>
    </row>
    <row r="8" spans="2:8" ht="12.75" customHeight="1" thickBot="1" x14ac:dyDescent="0.25">
      <c r="B8" s="51"/>
      <c r="C8" s="45"/>
      <c r="D8" s="61"/>
      <c r="E8" s="62"/>
      <c r="F8" s="62"/>
      <c r="G8" s="59"/>
      <c r="H8" s="60"/>
    </row>
    <row r="9" spans="2:8" ht="21" customHeight="1" thickTop="1" x14ac:dyDescent="0.2">
      <c r="B9" s="51"/>
      <c r="C9" s="244" t="s">
        <v>4</v>
      </c>
      <c r="D9" s="245"/>
      <c r="E9" s="246" t="s">
        <v>5</v>
      </c>
      <c r="F9" s="247"/>
      <c r="G9" s="45"/>
      <c r="H9" s="53"/>
    </row>
    <row r="10" spans="2:8" ht="37.5" customHeight="1" x14ac:dyDescent="0.2">
      <c r="B10" s="51"/>
      <c r="C10" s="224" t="s">
        <v>6</v>
      </c>
      <c r="D10" s="225"/>
      <c r="E10" s="226" t="s">
        <v>7</v>
      </c>
      <c r="F10" s="227"/>
      <c r="G10" s="45"/>
      <c r="H10" s="53"/>
    </row>
    <row r="11" spans="2:8" ht="39.75" customHeight="1" x14ac:dyDescent="0.2">
      <c r="B11" s="51"/>
      <c r="C11" s="228" t="s">
        <v>8</v>
      </c>
      <c r="D11" s="229"/>
      <c r="E11" s="205" t="s">
        <v>9</v>
      </c>
      <c r="F11" s="206"/>
      <c r="G11" s="45"/>
      <c r="H11" s="53"/>
    </row>
    <row r="12" spans="2:8" ht="59.25" customHeight="1" x14ac:dyDescent="0.2">
      <c r="B12" s="51"/>
      <c r="C12" s="228" t="s">
        <v>10</v>
      </c>
      <c r="D12" s="229"/>
      <c r="E12" s="230" t="s">
        <v>11</v>
      </c>
      <c r="F12" s="231"/>
      <c r="G12" s="45"/>
      <c r="H12" s="53"/>
    </row>
    <row r="13" spans="2:8" ht="33.75" customHeight="1" x14ac:dyDescent="0.2">
      <c r="B13" s="51"/>
      <c r="C13" s="203" t="s">
        <v>12</v>
      </c>
      <c r="D13" s="204"/>
      <c r="E13" s="205" t="s">
        <v>13</v>
      </c>
      <c r="F13" s="206"/>
      <c r="G13" s="45"/>
      <c r="H13" s="53"/>
    </row>
    <row r="14" spans="2:8" ht="19.5" customHeight="1" x14ac:dyDescent="0.2">
      <c r="B14" s="51"/>
      <c r="C14" s="57"/>
      <c r="D14" s="57"/>
      <c r="E14" s="58"/>
      <c r="F14" s="58"/>
      <c r="G14" s="45"/>
      <c r="H14" s="53"/>
    </row>
    <row r="15" spans="2:8" ht="37.5" customHeight="1" thickBot="1" x14ac:dyDescent="0.25">
      <c r="B15" s="199" t="s">
        <v>14</v>
      </c>
      <c r="C15" s="200"/>
      <c r="D15" s="200"/>
      <c r="E15" s="200"/>
      <c r="F15" s="200"/>
      <c r="G15" s="200"/>
      <c r="H15" s="201"/>
    </row>
    <row r="16" spans="2:8" ht="27.75" customHeight="1" thickBot="1" x14ac:dyDescent="0.25">
      <c r="B16" s="51"/>
      <c r="C16" s="207" t="s">
        <v>15</v>
      </c>
      <c r="D16" s="208"/>
      <c r="E16" s="208" t="s">
        <v>16</v>
      </c>
      <c r="F16" s="219"/>
      <c r="G16" s="45"/>
      <c r="H16" s="53"/>
    </row>
    <row r="17" spans="2:8" ht="27.75" customHeight="1" x14ac:dyDescent="0.2">
      <c r="B17" s="51"/>
      <c r="C17" s="220" t="s">
        <v>17</v>
      </c>
      <c r="D17" s="221"/>
      <c r="E17" s="222" t="s">
        <v>18</v>
      </c>
      <c r="F17" s="223"/>
      <c r="G17" s="83"/>
      <c r="H17" s="53"/>
    </row>
    <row r="18" spans="2:8" ht="41.25" customHeight="1" x14ac:dyDescent="0.2">
      <c r="B18" s="51"/>
      <c r="C18" s="209" t="s">
        <v>19</v>
      </c>
      <c r="D18" s="210"/>
      <c r="E18" s="211" t="s">
        <v>20</v>
      </c>
      <c r="F18" s="212"/>
      <c r="G18" s="84"/>
      <c r="H18" s="53"/>
    </row>
    <row r="19" spans="2:8" ht="37.5" customHeight="1" thickBot="1" x14ac:dyDescent="0.25">
      <c r="B19" s="51"/>
      <c r="C19" s="213" t="s">
        <v>21</v>
      </c>
      <c r="D19" s="214"/>
      <c r="E19" s="215" t="s">
        <v>22</v>
      </c>
      <c r="F19" s="216"/>
      <c r="G19" s="84"/>
      <c r="H19" s="53"/>
    </row>
    <row r="20" spans="2:8" ht="11.25" customHeight="1" x14ac:dyDescent="0.2">
      <c r="B20" s="46"/>
      <c r="C20" s="47"/>
      <c r="D20" s="47"/>
      <c r="E20" s="47"/>
      <c r="F20" s="47"/>
      <c r="G20" s="47"/>
      <c r="H20" s="48"/>
    </row>
    <row r="21" spans="2:8" ht="14.25" customHeight="1" x14ac:dyDescent="0.2">
      <c r="B21" s="49"/>
      <c r="C21" s="217"/>
      <c r="D21" s="217"/>
      <c r="E21" s="218"/>
      <c r="F21" s="218"/>
      <c r="G21" s="218"/>
      <c r="H21" s="50"/>
    </row>
    <row r="22" spans="2:8" ht="36" customHeight="1" x14ac:dyDescent="0.2">
      <c r="B22" s="199" t="s">
        <v>23</v>
      </c>
      <c r="C22" s="200"/>
      <c r="D22" s="200"/>
      <c r="E22" s="200"/>
      <c r="F22" s="200"/>
      <c r="G22" s="200"/>
      <c r="H22" s="201"/>
    </row>
    <row r="23" spans="2:8" ht="13.5" x14ac:dyDescent="0.2">
      <c r="B23" s="51"/>
      <c r="C23" s="52"/>
      <c r="D23" s="52"/>
      <c r="E23" s="202"/>
      <c r="F23" s="202"/>
      <c r="G23" s="45"/>
      <c r="H23" s="53"/>
    </row>
    <row r="24" spans="2:8" ht="13.5" thickBot="1" x14ac:dyDescent="0.25">
      <c r="B24" s="54"/>
      <c r="C24" s="55"/>
      <c r="D24" s="55"/>
      <c r="E24" s="55"/>
      <c r="F24" s="55"/>
      <c r="G24" s="55"/>
      <c r="H24" s="56"/>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55" workbookViewId="0">
      <selection activeCell="D38" sqref="D38:D42"/>
    </sheetView>
  </sheetViews>
  <sheetFormatPr baseColWidth="10" defaultColWidth="11.42578125" defaultRowHeight="16.5" x14ac:dyDescent="0.3"/>
  <cols>
    <col min="1" max="1" width="3" style="41" hidden="1" customWidth="1"/>
    <col min="2" max="2" width="9.42578125" style="41" customWidth="1"/>
    <col min="3" max="3" width="18.7109375" style="41" customWidth="1"/>
    <col min="4" max="4" width="15.5703125" style="41" customWidth="1"/>
    <col min="5" max="5" width="10.140625" style="64" customWidth="1"/>
    <col min="6" max="6" width="38.5703125" style="64" customWidth="1"/>
    <col min="7" max="7" width="15.42578125" style="41" customWidth="1"/>
    <col min="8" max="8" width="48.28515625" style="41" customWidth="1"/>
    <col min="9" max="9" width="23.85546875" style="41" customWidth="1"/>
    <col min="10" max="12" width="11.42578125" style="69" customWidth="1"/>
    <col min="13" max="24" width="11.42578125" style="41" customWidth="1"/>
    <col min="25" max="16384" width="11.42578125" style="41"/>
  </cols>
  <sheetData>
    <row r="1" spans="1:32" x14ac:dyDescent="0.3">
      <c r="B1" s="40"/>
      <c r="C1" s="40"/>
      <c r="D1" s="40"/>
      <c r="E1" s="63"/>
      <c r="F1" s="63"/>
      <c r="G1" s="40"/>
      <c r="H1" s="40"/>
      <c r="I1" s="40"/>
      <c r="J1" s="65"/>
      <c r="K1" s="65"/>
      <c r="L1" s="66"/>
      <c r="M1" s="40"/>
      <c r="N1" s="40"/>
      <c r="O1" s="40"/>
      <c r="P1" s="40"/>
      <c r="Q1" s="40"/>
      <c r="R1" s="40"/>
      <c r="S1" s="40"/>
      <c r="T1" s="40"/>
      <c r="U1" s="40"/>
      <c r="V1" s="40"/>
      <c r="W1" s="40"/>
      <c r="X1" s="40"/>
    </row>
    <row r="2" spans="1:32" x14ac:dyDescent="0.3">
      <c r="B2" s="40"/>
      <c r="C2" s="40"/>
      <c r="D2" s="40"/>
      <c r="E2" s="63"/>
      <c r="F2" s="63"/>
      <c r="G2" s="40"/>
      <c r="H2" s="40"/>
      <c r="I2" s="40"/>
      <c r="J2" s="65"/>
      <c r="K2" s="65"/>
      <c r="L2" s="66"/>
      <c r="M2" s="40"/>
      <c r="N2" s="40"/>
      <c r="O2" s="40"/>
      <c r="P2" s="40"/>
      <c r="Q2" s="40"/>
      <c r="R2" s="40"/>
      <c r="S2" s="40"/>
      <c r="T2" s="40"/>
      <c r="U2" s="40"/>
      <c r="V2" s="40"/>
      <c r="W2" s="40"/>
      <c r="X2" s="40"/>
    </row>
    <row r="3" spans="1:32" x14ac:dyDescent="0.3">
      <c r="B3" s="40"/>
      <c r="C3" s="40"/>
      <c r="D3" s="40"/>
      <c r="E3" s="63"/>
      <c r="F3" s="63"/>
      <c r="G3" s="40"/>
      <c r="H3" s="40"/>
      <c r="I3" s="40"/>
      <c r="J3" s="65"/>
      <c r="K3" s="65"/>
      <c r="L3" s="66"/>
      <c r="M3" s="40"/>
      <c r="N3" s="40"/>
      <c r="O3" s="40"/>
      <c r="P3" s="40"/>
      <c r="Q3" s="40"/>
      <c r="R3" s="40"/>
      <c r="S3" s="40"/>
      <c r="T3" s="40"/>
      <c r="U3" s="40"/>
      <c r="V3" s="40"/>
      <c r="W3" s="40"/>
      <c r="X3" s="40"/>
    </row>
    <row r="4" spans="1:32" x14ac:dyDescent="0.3">
      <c r="B4" s="40"/>
      <c r="C4" s="40"/>
      <c r="D4" s="40"/>
      <c r="E4" s="63"/>
      <c r="F4" s="63"/>
      <c r="G4" s="40"/>
      <c r="H4" s="40"/>
      <c r="I4" s="40"/>
      <c r="J4" s="65"/>
      <c r="K4" s="65"/>
      <c r="L4" s="66"/>
      <c r="M4" s="40"/>
      <c r="N4" s="40"/>
      <c r="O4" s="40"/>
      <c r="P4" s="40"/>
      <c r="Q4" s="40"/>
      <c r="R4" s="40"/>
      <c r="S4" s="40"/>
      <c r="T4" s="40"/>
      <c r="U4" s="40"/>
      <c r="V4" s="40"/>
      <c r="W4" s="40"/>
      <c r="X4" s="40"/>
    </row>
    <row r="5" spans="1:32" x14ac:dyDescent="0.3">
      <c r="B5" s="40"/>
      <c r="C5" s="40"/>
      <c r="D5" s="40"/>
      <c r="E5" s="63"/>
      <c r="F5" s="63"/>
      <c r="G5" s="40"/>
      <c r="H5" s="40"/>
      <c r="I5" s="40"/>
      <c r="J5" s="65"/>
      <c r="K5" s="65"/>
      <c r="L5" s="66"/>
      <c r="M5" s="40"/>
      <c r="N5" s="40"/>
      <c r="O5" s="40"/>
      <c r="P5" s="40"/>
      <c r="Q5" s="40"/>
      <c r="R5" s="40"/>
      <c r="S5" s="40"/>
      <c r="T5" s="40"/>
      <c r="U5" s="40"/>
      <c r="V5" s="40"/>
      <c r="W5" s="40"/>
      <c r="X5" s="40"/>
    </row>
    <row r="6" spans="1:32" x14ac:dyDescent="0.3">
      <c r="B6" s="40"/>
      <c r="C6" s="40"/>
      <c r="D6" s="40"/>
      <c r="E6" s="63"/>
      <c r="F6" s="63"/>
      <c r="G6" s="40"/>
      <c r="H6" s="40"/>
      <c r="I6" s="40"/>
      <c r="J6" s="65"/>
      <c r="K6" s="65"/>
      <c r="L6" s="66"/>
      <c r="M6" s="40"/>
      <c r="N6" s="40"/>
      <c r="O6" s="40"/>
      <c r="P6" s="40"/>
      <c r="Q6" s="40"/>
      <c r="R6" s="40"/>
      <c r="S6" s="40"/>
      <c r="T6" s="40"/>
      <c r="U6" s="40"/>
      <c r="V6" s="40"/>
      <c r="W6" s="40"/>
      <c r="X6" s="40"/>
    </row>
    <row r="7" spans="1:32" x14ac:dyDescent="0.3">
      <c r="B7" s="40"/>
      <c r="C7" s="40"/>
      <c r="D7" s="40"/>
      <c r="E7" s="63"/>
      <c r="F7" s="63"/>
      <c r="G7" s="40"/>
      <c r="H7" s="40"/>
      <c r="I7" s="40"/>
      <c r="J7" s="65"/>
      <c r="K7" s="65"/>
      <c r="L7" s="66"/>
      <c r="M7" s="40"/>
      <c r="N7" s="40"/>
      <c r="O7" s="40"/>
      <c r="P7" s="40"/>
      <c r="Q7" s="40"/>
      <c r="R7" s="40"/>
      <c r="S7" s="40"/>
      <c r="T7" s="40"/>
      <c r="U7" s="40"/>
      <c r="V7" s="40"/>
      <c r="W7" s="40"/>
      <c r="X7" s="40"/>
    </row>
    <row r="8" spans="1:32" x14ac:dyDescent="0.3">
      <c r="B8" s="40"/>
      <c r="C8" s="40"/>
      <c r="D8" s="40"/>
      <c r="E8" s="63"/>
      <c r="F8" s="63"/>
      <c r="G8" s="40"/>
      <c r="H8" s="40"/>
      <c r="I8" s="40"/>
      <c r="J8" s="65"/>
      <c r="K8" s="65"/>
      <c r="L8" s="66"/>
      <c r="M8" s="40"/>
      <c r="N8" s="40"/>
      <c r="O8" s="40"/>
      <c r="P8" s="40"/>
      <c r="Q8" s="40"/>
      <c r="R8" s="40"/>
      <c r="S8" s="40"/>
      <c r="T8" s="40"/>
      <c r="U8" s="40"/>
      <c r="V8" s="40"/>
      <c r="W8" s="40"/>
      <c r="X8" s="40"/>
    </row>
    <row r="9" spans="1:32" x14ac:dyDescent="0.3">
      <c r="B9" s="40"/>
      <c r="C9" s="40"/>
      <c r="D9" s="40"/>
      <c r="E9" s="63"/>
      <c r="F9" s="63"/>
      <c r="G9" s="40"/>
      <c r="H9" s="40"/>
      <c r="I9" s="40"/>
      <c r="J9" s="65"/>
      <c r="K9" s="65"/>
      <c r="L9" s="66"/>
      <c r="M9" s="40"/>
      <c r="N9" s="40"/>
      <c r="O9" s="40"/>
      <c r="P9" s="40"/>
      <c r="Q9" s="40"/>
      <c r="R9" s="40"/>
      <c r="S9" s="40"/>
      <c r="T9" s="40"/>
      <c r="U9" s="40"/>
      <c r="V9" s="40"/>
      <c r="W9" s="40"/>
      <c r="X9" s="40"/>
    </row>
    <row r="10" spans="1:32" x14ac:dyDescent="0.3">
      <c r="B10" s="40"/>
      <c r="C10" s="40"/>
      <c r="D10" s="40"/>
      <c r="E10" s="63"/>
      <c r="F10" s="63"/>
      <c r="G10" s="40"/>
      <c r="H10" s="40"/>
      <c r="I10" s="40"/>
      <c r="J10" s="65"/>
      <c r="K10" s="65"/>
      <c r="L10" s="66"/>
      <c r="M10" s="40"/>
      <c r="N10" s="40"/>
      <c r="O10" s="40"/>
      <c r="P10" s="40"/>
      <c r="Q10" s="40"/>
      <c r="R10" s="40"/>
      <c r="S10" s="40"/>
      <c r="T10" s="40"/>
      <c r="U10" s="40"/>
      <c r="V10" s="40"/>
      <c r="W10" s="40"/>
      <c r="X10" s="40"/>
    </row>
    <row r="11" spans="1:32" x14ac:dyDescent="0.3">
      <c r="B11" s="40"/>
      <c r="C11" s="40"/>
      <c r="D11" s="40"/>
      <c r="E11" s="63"/>
      <c r="F11" s="63"/>
      <c r="G11" s="40"/>
      <c r="H11" s="40"/>
      <c r="I11" s="40"/>
      <c r="J11" s="65"/>
      <c r="K11" s="65"/>
      <c r="L11" s="66"/>
      <c r="M11" s="40"/>
      <c r="N11" s="40"/>
      <c r="O11" s="40"/>
      <c r="P11" s="40"/>
      <c r="Q11" s="40"/>
      <c r="R11" s="40"/>
      <c r="S11" s="40"/>
      <c r="T11" s="40"/>
      <c r="U11" s="40"/>
      <c r="V11" s="40"/>
      <c r="W11" s="40"/>
      <c r="X11" s="40"/>
    </row>
    <row r="12" spans="1:32" x14ac:dyDescent="0.3">
      <c r="B12" s="40"/>
      <c r="C12" s="40"/>
      <c r="D12" s="40"/>
      <c r="E12" s="63"/>
      <c r="F12" s="63"/>
      <c r="G12" s="40"/>
      <c r="H12" s="40"/>
      <c r="I12" s="40"/>
      <c r="J12" s="65"/>
      <c r="K12" s="65"/>
      <c r="L12" s="66"/>
      <c r="M12" s="40"/>
      <c r="N12" s="40"/>
      <c r="O12" s="40"/>
      <c r="P12" s="40"/>
      <c r="Q12" s="40"/>
      <c r="R12" s="40"/>
      <c r="S12" s="40"/>
      <c r="T12" s="40"/>
      <c r="U12" s="40"/>
      <c r="V12" s="40"/>
      <c r="W12" s="40"/>
      <c r="X12" s="40"/>
    </row>
    <row r="13" spans="1:32" x14ac:dyDescent="0.3">
      <c r="B13" s="40"/>
      <c r="C13" s="40"/>
      <c r="D13" s="40"/>
      <c r="E13" s="63"/>
      <c r="F13" s="63"/>
      <c r="G13" s="40"/>
      <c r="H13" s="40"/>
      <c r="I13" s="40"/>
      <c r="J13" s="65"/>
      <c r="K13" s="65"/>
      <c r="L13" s="66"/>
      <c r="M13" s="40"/>
      <c r="N13" s="40"/>
      <c r="O13" s="40"/>
      <c r="P13" s="40"/>
      <c r="Q13" s="40"/>
      <c r="R13" s="40"/>
      <c r="S13" s="40"/>
      <c r="T13" s="40"/>
      <c r="U13" s="40"/>
      <c r="V13" s="40"/>
      <c r="W13" s="40"/>
      <c r="X13" s="40"/>
    </row>
    <row r="14" spans="1:32" s="43" customFormat="1" ht="49.5" customHeight="1" x14ac:dyDescent="0.25">
      <c r="B14" s="248" t="s">
        <v>24</v>
      </c>
      <c r="C14" s="248"/>
      <c r="D14" s="248"/>
      <c r="E14" s="248"/>
      <c r="F14" s="248"/>
      <c r="G14" s="248"/>
      <c r="H14" s="248"/>
      <c r="I14" s="248"/>
      <c r="J14" s="67"/>
      <c r="K14" s="67"/>
      <c r="L14" s="68"/>
      <c r="M14" s="42"/>
      <c r="N14" s="42"/>
      <c r="O14" s="42"/>
      <c r="P14" s="42"/>
      <c r="Q14" s="42"/>
      <c r="R14" s="42"/>
      <c r="S14" s="42"/>
      <c r="T14" s="42"/>
      <c r="U14" s="42"/>
      <c r="V14" s="42"/>
      <c r="W14" s="42"/>
      <c r="X14" s="42"/>
      <c r="Y14" s="42"/>
      <c r="Z14" s="42"/>
      <c r="AA14" s="42"/>
      <c r="AB14" s="42"/>
      <c r="AC14" s="42"/>
      <c r="AD14" s="42"/>
      <c r="AE14" s="42"/>
      <c r="AF14" s="42"/>
    </row>
    <row r="15" spans="1:32" s="43" customFormat="1" ht="123.75" customHeight="1" thickBot="1" x14ac:dyDescent="0.3">
      <c r="B15" s="71" t="s">
        <v>25</v>
      </c>
      <c r="C15" s="71" t="s">
        <v>6</v>
      </c>
      <c r="D15" s="72" t="s">
        <v>8</v>
      </c>
      <c r="E15" s="73" t="s">
        <v>26</v>
      </c>
      <c r="F15" s="73" t="s">
        <v>27</v>
      </c>
      <c r="G15" s="73" t="s">
        <v>28</v>
      </c>
      <c r="H15" s="74" t="s">
        <v>29</v>
      </c>
      <c r="I15" s="73" t="s">
        <v>30</v>
      </c>
      <c r="J15" s="67"/>
      <c r="K15" s="67"/>
      <c r="L15" s="68"/>
      <c r="M15" s="42"/>
      <c r="N15" s="42"/>
      <c r="O15" s="42"/>
      <c r="P15" s="42"/>
      <c r="Q15" s="42"/>
      <c r="R15" s="42"/>
      <c r="S15" s="42"/>
      <c r="T15" s="42"/>
      <c r="U15" s="42"/>
      <c r="V15" s="42"/>
      <c r="W15" s="42"/>
      <c r="X15" s="42"/>
      <c r="Y15" s="42"/>
      <c r="Z15" s="42"/>
      <c r="AA15" s="42"/>
      <c r="AB15" s="42"/>
      <c r="AC15" s="42"/>
      <c r="AD15" s="42"/>
      <c r="AE15" s="42"/>
      <c r="AF15" s="42"/>
    </row>
    <row r="16" spans="1:32" s="43" customFormat="1" ht="71.25" customHeight="1" x14ac:dyDescent="0.25">
      <c r="A16" s="85" t="str">
        <f>1&amp;E16</f>
        <v>1a</v>
      </c>
      <c r="B16" s="264" t="s">
        <v>31</v>
      </c>
      <c r="C16" s="274" t="s">
        <v>32</v>
      </c>
      <c r="D16" s="261" t="s">
        <v>33</v>
      </c>
      <c r="E16" s="143" t="s">
        <v>34</v>
      </c>
      <c r="F16" s="144" t="s">
        <v>35</v>
      </c>
      <c r="G16" s="145" t="s">
        <v>75</v>
      </c>
      <c r="H16" s="146" t="s">
        <v>206</v>
      </c>
      <c r="I16" s="147" t="str">
        <f>+IF(G16="Si","Mantenimiento del control",IF(G16="En proceso","Oportunidad de mejora","Deficiencia de control"))</f>
        <v>Oportunidad de mejora</v>
      </c>
      <c r="J16" s="87">
        <f t="shared" ref="J16:J27" si="0">+IF(G16="Si",20,IF(G16="En proceso",10,0))</f>
        <v>10</v>
      </c>
      <c r="K16" s="87">
        <v>0.123</v>
      </c>
      <c r="L16" s="87">
        <f>+J16+K16</f>
        <v>10.122999999999999</v>
      </c>
    </row>
    <row r="17" spans="1:32" s="43" customFormat="1" ht="82.5" x14ac:dyDescent="0.25">
      <c r="A17" s="85" t="str">
        <f t="shared" ref="A17:A27" si="1">1&amp;E17</f>
        <v>1b</v>
      </c>
      <c r="B17" s="265"/>
      <c r="C17" s="275"/>
      <c r="D17" s="262"/>
      <c r="E17" s="148" t="s">
        <v>36</v>
      </c>
      <c r="F17" s="149" t="s">
        <v>37</v>
      </c>
      <c r="G17" s="150" t="s">
        <v>75</v>
      </c>
      <c r="H17" s="151" t="s">
        <v>192</v>
      </c>
      <c r="I17" s="152" t="str">
        <f t="shared" ref="I17:I59" si="2">+IF(G17="Si","Mantenimiento del control",IF(G17="En proceso","Oportunidad de mejora","Deficiencia de control"))</f>
        <v>Oportunidad de mejora</v>
      </c>
      <c r="J17" s="88">
        <f t="shared" si="0"/>
        <v>10</v>
      </c>
      <c r="K17" s="87">
        <v>0.1234</v>
      </c>
      <c r="L17" s="87">
        <f t="shared" ref="L17:L59" si="3">+J17+K17</f>
        <v>10.1234</v>
      </c>
    </row>
    <row r="18" spans="1:32" s="43" customFormat="1" ht="115.5" x14ac:dyDescent="0.25">
      <c r="A18" s="85" t="str">
        <f t="shared" si="1"/>
        <v>1c</v>
      </c>
      <c r="B18" s="265"/>
      <c r="C18" s="275"/>
      <c r="D18" s="262"/>
      <c r="E18" s="148" t="s">
        <v>39</v>
      </c>
      <c r="F18" s="153" t="s">
        <v>40</v>
      </c>
      <c r="G18" s="150" t="s">
        <v>75</v>
      </c>
      <c r="H18" s="154" t="s">
        <v>208</v>
      </c>
      <c r="I18" s="155" t="str">
        <f t="shared" si="2"/>
        <v>Oportunidad de mejora</v>
      </c>
      <c r="J18" s="88">
        <f t="shared" si="0"/>
        <v>10</v>
      </c>
      <c r="K18" s="87">
        <v>0.12345</v>
      </c>
      <c r="L18" s="87">
        <f t="shared" si="3"/>
        <v>10.12345</v>
      </c>
    </row>
    <row r="19" spans="1:32" s="43" customFormat="1" ht="90" customHeight="1" x14ac:dyDescent="0.25">
      <c r="A19" s="85" t="str">
        <f t="shared" si="1"/>
        <v>1d</v>
      </c>
      <c r="B19" s="265"/>
      <c r="C19" s="275"/>
      <c r="D19" s="262"/>
      <c r="E19" s="148" t="s">
        <v>41</v>
      </c>
      <c r="F19" s="153" t="s">
        <v>42</v>
      </c>
      <c r="G19" s="150" t="s">
        <v>38</v>
      </c>
      <c r="H19" s="154" t="s">
        <v>189</v>
      </c>
      <c r="I19" s="155" t="str">
        <f t="shared" si="2"/>
        <v>Mantenimiento del control</v>
      </c>
      <c r="J19" s="88">
        <f t="shared" si="0"/>
        <v>20</v>
      </c>
      <c r="K19" s="87">
        <v>0.123456</v>
      </c>
      <c r="L19" s="87">
        <f t="shared" si="3"/>
        <v>20.123456000000001</v>
      </c>
    </row>
    <row r="20" spans="1:32" s="43" customFormat="1" ht="49.5" x14ac:dyDescent="0.25">
      <c r="A20" s="85" t="str">
        <f t="shared" si="1"/>
        <v>1e</v>
      </c>
      <c r="B20" s="265"/>
      <c r="C20" s="275"/>
      <c r="D20" s="262"/>
      <c r="E20" s="148" t="s">
        <v>43</v>
      </c>
      <c r="F20" s="153" t="s">
        <v>44</v>
      </c>
      <c r="G20" s="150" t="s">
        <v>75</v>
      </c>
      <c r="H20" s="154" t="s">
        <v>190</v>
      </c>
      <c r="I20" s="155" t="str">
        <f t="shared" si="2"/>
        <v>Oportunidad de mejora</v>
      </c>
      <c r="J20" s="88">
        <f t="shared" si="0"/>
        <v>10</v>
      </c>
      <c r="K20" s="87">
        <v>0.12345678</v>
      </c>
      <c r="L20" s="87">
        <f t="shared" si="3"/>
        <v>10.12345678</v>
      </c>
    </row>
    <row r="21" spans="1:32" s="43" customFormat="1" ht="132" x14ac:dyDescent="0.25">
      <c r="A21" s="85" t="str">
        <f t="shared" si="1"/>
        <v>1f</v>
      </c>
      <c r="B21" s="265"/>
      <c r="C21" s="275"/>
      <c r="D21" s="262"/>
      <c r="E21" s="148" t="s">
        <v>45</v>
      </c>
      <c r="F21" s="153" t="s">
        <v>46</v>
      </c>
      <c r="G21" s="150" t="s">
        <v>75</v>
      </c>
      <c r="H21" s="154" t="s">
        <v>209</v>
      </c>
      <c r="I21" s="155" t="str">
        <f t="shared" si="2"/>
        <v>Oportunidad de mejora</v>
      </c>
      <c r="J21" s="88">
        <f t="shared" si="0"/>
        <v>10</v>
      </c>
      <c r="K21" s="87">
        <v>0.123456789</v>
      </c>
      <c r="L21" s="87">
        <f t="shared" si="3"/>
        <v>10.123456789</v>
      </c>
    </row>
    <row r="22" spans="1:32" s="43" customFormat="1" ht="99" x14ac:dyDescent="0.25">
      <c r="A22" s="85" t="str">
        <f t="shared" si="1"/>
        <v>1g</v>
      </c>
      <c r="B22" s="265"/>
      <c r="C22" s="275"/>
      <c r="D22" s="262"/>
      <c r="E22" s="148" t="s">
        <v>47</v>
      </c>
      <c r="F22" s="153" t="s">
        <v>48</v>
      </c>
      <c r="G22" s="150" t="s">
        <v>38</v>
      </c>
      <c r="H22" s="154" t="s">
        <v>210</v>
      </c>
      <c r="I22" s="155" t="str">
        <f t="shared" si="2"/>
        <v>Mantenimiento del control</v>
      </c>
      <c r="J22" s="88">
        <f t="shared" si="0"/>
        <v>20</v>
      </c>
      <c r="K22" s="87">
        <v>0.12345678910000001</v>
      </c>
      <c r="L22" s="87">
        <f t="shared" si="3"/>
        <v>20.1234567891</v>
      </c>
    </row>
    <row r="23" spans="1:32" s="43" customFormat="1" ht="115.5" x14ac:dyDescent="0.25">
      <c r="A23" s="85" t="str">
        <f t="shared" si="1"/>
        <v>1h</v>
      </c>
      <c r="B23" s="265"/>
      <c r="C23" s="275"/>
      <c r="D23" s="262"/>
      <c r="E23" s="148" t="s">
        <v>49</v>
      </c>
      <c r="F23" s="153" t="s">
        <v>50</v>
      </c>
      <c r="G23" s="150" t="s">
        <v>75</v>
      </c>
      <c r="H23" s="154" t="s">
        <v>211</v>
      </c>
      <c r="I23" s="155" t="str">
        <f t="shared" si="2"/>
        <v>Oportunidad de mejora</v>
      </c>
      <c r="J23" s="88">
        <f t="shared" si="0"/>
        <v>10</v>
      </c>
      <c r="K23" s="87">
        <v>0.12345678911999999</v>
      </c>
      <c r="L23" s="87">
        <f t="shared" si="3"/>
        <v>10.12345678912</v>
      </c>
    </row>
    <row r="24" spans="1:32" s="43" customFormat="1" ht="165" x14ac:dyDescent="0.25">
      <c r="A24" s="85" t="str">
        <f t="shared" si="1"/>
        <v>1i</v>
      </c>
      <c r="B24" s="265"/>
      <c r="C24" s="275"/>
      <c r="D24" s="262"/>
      <c r="E24" s="148" t="s">
        <v>51</v>
      </c>
      <c r="F24" s="153" t="s">
        <v>52</v>
      </c>
      <c r="G24" s="150" t="s">
        <v>38</v>
      </c>
      <c r="H24" s="154" t="s">
        <v>191</v>
      </c>
      <c r="I24" s="155" t="str">
        <f t="shared" si="2"/>
        <v>Mantenimiento del control</v>
      </c>
      <c r="J24" s="88">
        <f t="shared" si="0"/>
        <v>20</v>
      </c>
      <c r="K24" s="87">
        <v>0.123456789123</v>
      </c>
      <c r="L24" s="87">
        <f t="shared" si="3"/>
        <v>20.123456789123001</v>
      </c>
    </row>
    <row r="25" spans="1:32" s="43" customFormat="1" ht="165" x14ac:dyDescent="0.25">
      <c r="A25" s="85" t="str">
        <f t="shared" si="1"/>
        <v>1j</v>
      </c>
      <c r="B25" s="265"/>
      <c r="C25" s="275"/>
      <c r="D25" s="262"/>
      <c r="E25" s="148" t="s">
        <v>53</v>
      </c>
      <c r="F25" s="153" t="s">
        <v>54</v>
      </c>
      <c r="G25" s="150" t="s">
        <v>75</v>
      </c>
      <c r="H25" s="154" t="s">
        <v>193</v>
      </c>
      <c r="I25" s="155" t="str">
        <f t="shared" si="2"/>
        <v>Oportunidad de mejora</v>
      </c>
      <c r="J25" s="88">
        <f t="shared" si="0"/>
        <v>10</v>
      </c>
      <c r="K25" s="87">
        <v>0.1234567891234</v>
      </c>
      <c r="L25" s="87">
        <f t="shared" si="3"/>
        <v>10.1234567891234</v>
      </c>
    </row>
    <row r="26" spans="1:32" s="43" customFormat="1" ht="115.5" x14ac:dyDescent="0.25">
      <c r="A26" s="85" t="str">
        <f t="shared" si="1"/>
        <v>1k</v>
      </c>
      <c r="B26" s="265"/>
      <c r="C26" s="275"/>
      <c r="D26" s="262"/>
      <c r="E26" s="148" t="s">
        <v>55</v>
      </c>
      <c r="F26" s="153" t="s">
        <v>56</v>
      </c>
      <c r="G26" s="150" t="s">
        <v>75</v>
      </c>
      <c r="H26" s="154" t="s">
        <v>194</v>
      </c>
      <c r="I26" s="155" t="str">
        <f t="shared" si="2"/>
        <v>Oportunidad de mejora</v>
      </c>
      <c r="J26" s="88">
        <f t="shared" si="0"/>
        <v>10</v>
      </c>
      <c r="K26" s="87">
        <v>0.12345678912345</v>
      </c>
      <c r="L26" s="87">
        <f t="shared" si="3"/>
        <v>10.12345678912345</v>
      </c>
    </row>
    <row r="27" spans="1:32" s="43" customFormat="1" ht="66.75" thickBot="1" x14ac:dyDescent="0.3">
      <c r="A27" s="85" t="str">
        <f t="shared" si="1"/>
        <v>1l</v>
      </c>
      <c r="B27" s="266"/>
      <c r="C27" s="276"/>
      <c r="D27" s="263"/>
      <c r="E27" s="156" t="s">
        <v>57</v>
      </c>
      <c r="F27" s="157" t="s">
        <v>58</v>
      </c>
      <c r="G27" s="158" t="s">
        <v>38</v>
      </c>
      <c r="H27" s="159" t="s">
        <v>195</v>
      </c>
      <c r="I27" s="160" t="str">
        <f t="shared" si="2"/>
        <v>Mantenimiento del control</v>
      </c>
      <c r="J27" s="88">
        <f t="shared" si="0"/>
        <v>20</v>
      </c>
      <c r="K27" s="87">
        <v>0.12345678912345601</v>
      </c>
      <c r="L27" s="87">
        <f t="shared" si="3"/>
        <v>20.123456789123455</v>
      </c>
    </row>
    <row r="28" spans="1:32" s="43" customFormat="1" ht="132" x14ac:dyDescent="0.25">
      <c r="A28" s="85" t="str">
        <f>2&amp;E28</f>
        <v>2a</v>
      </c>
      <c r="B28" s="267" t="s">
        <v>59</v>
      </c>
      <c r="C28" s="277" t="s">
        <v>60</v>
      </c>
      <c r="D28" s="270" t="s">
        <v>61</v>
      </c>
      <c r="E28" s="161" t="s">
        <v>34</v>
      </c>
      <c r="F28" s="162" t="s">
        <v>62</v>
      </c>
      <c r="G28" s="163" t="s">
        <v>75</v>
      </c>
      <c r="H28" s="164" t="s">
        <v>212</v>
      </c>
      <c r="I28" s="165" t="str">
        <f t="shared" si="2"/>
        <v>Oportunidad de mejora</v>
      </c>
      <c r="J28" s="87">
        <f>+IF(G28="Si",40,IF(G28="En proceso",30,20))</f>
        <v>30</v>
      </c>
      <c r="K28" s="87">
        <v>0.23</v>
      </c>
      <c r="L28" s="87">
        <f t="shared" si="3"/>
        <v>30.23</v>
      </c>
    </row>
    <row r="29" spans="1:32" s="43" customFormat="1" ht="82.5" x14ac:dyDescent="0.25">
      <c r="A29" s="85" t="str">
        <f t="shared" ref="A29:A31" si="4">2&amp;E29</f>
        <v>2b</v>
      </c>
      <c r="B29" s="268"/>
      <c r="C29" s="278"/>
      <c r="D29" s="271"/>
      <c r="E29" s="166" t="s">
        <v>36</v>
      </c>
      <c r="F29" s="167" t="s">
        <v>63</v>
      </c>
      <c r="G29" s="168" t="s">
        <v>38</v>
      </c>
      <c r="H29" s="169" t="s">
        <v>213</v>
      </c>
      <c r="I29" s="170" t="str">
        <f t="shared" si="2"/>
        <v>Mantenimiento del control</v>
      </c>
      <c r="J29" s="87">
        <f>+IF(G29="Si",40,IF(G29="En proceso",30,20))</f>
        <v>40</v>
      </c>
      <c r="K29" s="87">
        <v>0.23400000000000001</v>
      </c>
      <c r="L29" s="87">
        <f t="shared" si="3"/>
        <v>40.234000000000002</v>
      </c>
    </row>
    <row r="30" spans="1:32" s="43" customFormat="1" ht="165" x14ac:dyDescent="0.25">
      <c r="A30" s="85" t="str">
        <f t="shared" si="4"/>
        <v>2c</v>
      </c>
      <c r="B30" s="268"/>
      <c r="C30" s="278"/>
      <c r="D30" s="271"/>
      <c r="E30" s="166" t="s">
        <v>39</v>
      </c>
      <c r="F30" s="167" t="s">
        <v>64</v>
      </c>
      <c r="G30" s="168" t="s">
        <v>38</v>
      </c>
      <c r="H30" s="169" t="s">
        <v>196</v>
      </c>
      <c r="I30" s="170" t="str">
        <f t="shared" si="2"/>
        <v>Mantenimiento del control</v>
      </c>
      <c r="J30" s="87">
        <f>+IF(G30="Si",40,IF(G30="En proceso",30,20))</f>
        <v>40</v>
      </c>
      <c r="K30" s="87">
        <v>0.23449999999999999</v>
      </c>
      <c r="L30" s="87">
        <f t="shared" si="3"/>
        <v>40.234499999999997</v>
      </c>
    </row>
    <row r="31" spans="1:32" s="43" customFormat="1" ht="99.75" thickBot="1" x14ac:dyDescent="0.3">
      <c r="A31" s="85" t="str">
        <f t="shared" si="4"/>
        <v>2d</v>
      </c>
      <c r="B31" s="269"/>
      <c r="C31" s="279"/>
      <c r="D31" s="272"/>
      <c r="E31" s="171" t="s">
        <v>41</v>
      </c>
      <c r="F31" s="172" t="s">
        <v>65</v>
      </c>
      <c r="G31" s="175" t="s">
        <v>75</v>
      </c>
      <c r="H31" s="173" t="s">
        <v>197</v>
      </c>
      <c r="I31" s="174" t="str">
        <f t="shared" si="2"/>
        <v>Oportunidad de mejora</v>
      </c>
      <c r="J31" s="87">
        <f>+IF(G31="Si",40,IF(G31="En proceso",30,20))</f>
        <v>30</v>
      </c>
      <c r="K31" s="87">
        <v>0.23455999999999999</v>
      </c>
      <c r="L31" s="87">
        <f t="shared" si="3"/>
        <v>30.234559999999998</v>
      </c>
    </row>
    <row r="32" spans="1:32" s="43" customFormat="1" ht="66" x14ac:dyDescent="0.25">
      <c r="A32" s="85" t="str">
        <f>3&amp;E32</f>
        <v>3a</v>
      </c>
      <c r="B32" s="292" t="s">
        <v>66</v>
      </c>
      <c r="C32" s="289" t="s">
        <v>60</v>
      </c>
      <c r="D32" s="291" t="s">
        <v>67</v>
      </c>
      <c r="E32" s="138" t="s">
        <v>34</v>
      </c>
      <c r="F32" s="139" t="s">
        <v>68</v>
      </c>
      <c r="G32" s="140" t="s">
        <v>38</v>
      </c>
      <c r="H32" s="141" t="s">
        <v>215</v>
      </c>
      <c r="I32" s="142" t="str">
        <f t="shared" si="2"/>
        <v>Mantenimiento del control</v>
      </c>
      <c r="J32" s="87">
        <f t="shared" ref="J32:J37" si="5">+IF(G32="Si",40,IF(G32="En proceso",30,20))</f>
        <v>40</v>
      </c>
      <c r="K32" s="91">
        <v>0.234567</v>
      </c>
      <c r="L32" s="87">
        <f t="shared" ref="L32:L37" si="6">+J32+K32</f>
        <v>40.234566999999998</v>
      </c>
      <c r="M32" s="42"/>
      <c r="N32" s="42"/>
      <c r="O32" s="42"/>
      <c r="P32" s="42"/>
      <c r="Q32" s="42"/>
      <c r="R32" s="42"/>
      <c r="S32" s="42"/>
      <c r="T32" s="42"/>
      <c r="U32" s="42"/>
      <c r="V32" s="42"/>
      <c r="W32" s="42"/>
      <c r="X32" s="42"/>
      <c r="Y32" s="42"/>
      <c r="Z32" s="42"/>
      <c r="AA32" s="42"/>
      <c r="AB32" s="42"/>
      <c r="AC32" s="42"/>
      <c r="AD32" s="42"/>
      <c r="AE32" s="42"/>
      <c r="AF32" s="42"/>
    </row>
    <row r="33" spans="1:32" s="43" customFormat="1" ht="47.25" x14ac:dyDescent="0.25">
      <c r="A33" s="85" t="str">
        <f t="shared" ref="A33:A34" si="7">3&amp;E33</f>
        <v>3b</v>
      </c>
      <c r="B33" s="292"/>
      <c r="C33" s="289"/>
      <c r="D33" s="291"/>
      <c r="E33" s="138" t="s">
        <v>36</v>
      </c>
      <c r="F33" s="139" t="s">
        <v>69</v>
      </c>
      <c r="G33" s="140" t="s">
        <v>38</v>
      </c>
      <c r="H33" s="141" t="s">
        <v>214</v>
      </c>
      <c r="I33" s="142" t="str">
        <f t="shared" si="2"/>
        <v>Mantenimiento del control</v>
      </c>
      <c r="J33" s="87">
        <f t="shared" si="5"/>
        <v>40</v>
      </c>
      <c r="K33" s="91">
        <v>0.23456779999999999</v>
      </c>
      <c r="L33" s="87">
        <f t="shared" si="6"/>
        <v>40.234567800000001</v>
      </c>
      <c r="M33" s="42"/>
      <c r="N33" s="42"/>
      <c r="O33" s="42"/>
      <c r="P33" s="42"/>
      <c r="Q33" s="42"/>
      <c r="R33" s="42"/>
      <c r="S33" s="42"/>
      <c r="T33" s="42"/>
      <c r="U33" s="42"/>
      <c r="V33" s="42"/>
      <c r="W33" s="42"/>
      <c r="X33" s="42"/>
      <c r="Y33" s="42"/>
      <c r="Z33" s="42"/>
      <c r="AA33" s="42"/>
      <c r="AB33" s="42"/>
      <c r="AC33" s="42"/>
      <c r="AD33" s="42"/>
      <c r="AE33" s="42"/>
      <c r="AF33" s="42"/>
    </row>
    <row r="34" spans="1:32" s="43" customFormat="1" ht="116.25" thickBot="1" x14ac:dyDescent="0.3">
      <c r="A34" s="85" t="str">
        <f t="shared" si="7"/>
        <v>3c</v>
      </c>
      <c r="B34" s="292"/>
      <c r="C34" s="289"/>
      <c r="D34" s="291"/>
      <c r="E34" s="138" t="s">
        <v>39</v>
      </c>
      <c r="F34" s="139" t="s">
        <v>70</v>
      </c>
      <c r="G34" s="140" t="s">
        <v>75</v>
      </c>
      <c r="H34" s="141" t="s">
        <v>216</v>
      </c>
      <c r="I34" s="142" t="str">
        <f t="shared" si="2"/>
        <v>Oportunidad de mejora</v>
      </c>
      <c r="J34" s="87">
        <f t="shared" si="5"/>
        <v>30</v>
      </c>
      <c r="K34" s="91">
        <v>0.23456789</v>
      </c>
      <c r="L34" s="87">
        <f t="shared" si="6"/>
        <v>30.234567890000001</v>
      </c>
      <c r="M34" s="42"/>
      <c r="N34" s="42"/>
      <c r="O34" s="42"/>
      <c r="P34" s="42"/>
      <c r="Q34" s="42"/>
      <c r="R34" s="42"/>
      <c r="S34" s="42"/>
      <c r="T34" s="42"/>
      <c r="U34" s="42"/>
      <c r="V34" s="42"/>
      <c r="W34" s="42"/>
      <c r="X34" s="42"/>
      <c r="Y34" s="42"/>
      <c r="Z34" s="42"/>
      <c r="AA34" s="42"/>
      <c r="AB34" s="42"/>
      <c r="AC34" s="42"/>
      <c r="AD34" s="42"/>
      <c r="AE34" s="42"/>
      <c r="AF34" s="42"/>
    </row>
    <row r="35" spans="1:32" s="43" customFormat="1" ht="177.75" customHeight="1" x14ac:dyDescent="0.25">
      <c r="A35" s="85" t="str">
        <f>4&amp;E35</f>
        <v>4a</v>
      </c>
      <c r="B35" s="293" t="s">
        <v>71</v>
      </c>
      <c r="C35" s="290" t="s">
        <v>60</v>
      </c>
      <c r="D35" s="294" t="s">
        <v>72</v>
      </c>
      <c r="E35" s="75" t="s">
        <v>34</v>
      </c>
      <c r="F35" s="76" t="s">
        <v>73</v>
      </c>
      <c r="G35" s="93" t="s">
        <v>38</v>
      </c>
      <c r="H35" s="94" t="s">
        <v>199</v>
      </c>
      <c r="I35" s="86" t="str">
        <f t="shared" si="2"/>
        <v>Mantenimiento del control</v>
      </c>
      <c r="J35" s="87">
        <f t="shared" si="5"/>
        <v>40</v>
      </c>
      <c r="K35" s="91">
        <v>0.23456789119999999</v>
      </c>
      <c r="L35" s="87">
        <f t="shared" si="6"/>
        <v>40.234567891200001</v>
      </c>
      <c r="M35" s="42"/>
      <c r="N35" s="42"/>
      <c r="O35" s="42"/>
      <c r="P35" s="42"/>
      <c r="Q35" s="42"/>
    </row>
    <row r="36" spans="1:32" s="43" customFormat="1" ht="181.5" x14ac:dyDescent="0.25">
      <c r="A36" s="85" t="str">
        <f t="shared" ref="A36:A37" si="8">4&amp;E36</f>
        <v>4b</v>
      </c>
      <c r="B36" s="293"/>
      <c r="C36" s="290"/>
      <c r="D36" s="294"/>
      <c r="E36" s="77" t="s">
        <v>36</v>
      </c>
      <c r="F36" s="78" t="s">
        <v>74</v>
      </c>
      <c r="G36" s="95" t="s">
        <v>38</v>
      </c>
      <c r="H36" s="96" t="s">
        <v>217</v>
      </c>
      <c r="I36" s="89" t="str">
        <f t="shared" si="2"/>
        <v>Mantenimiento del control</v>
      </c>
      <c r="J36" s="87">
        <f t="shared" si="5"/>
        <v>40</v>
      </c>
      <c r="K36" s="91">
        <v>0.23456789122999999</v>
      </c>
      <c r="L36" s="87">
        <f t="shared" si="6"/>
        <v>40.23456789123</v>
      </c>
      <c r="M36" s="42"/>
      <c r="N36" s="42"/>
      <c r="O36" s="42"/>
      <c r="P36" s="42"/>
      <c r="Q36" s="42"/>
    </row>
    <row r="37" spans="1:32" s="43" customFormat="1" ht="49.5" customHeight="1" thickBot="1" x14ac:dyDescent="0.3">
      <c r="A37" s="85" t="str">
        <f t="shared" si="8"/>
        <v>4c</v>
      </c>
      <c r="B37" s="293"/>
      <c r="C37" s="290"/>
      <c r="D37" s="294"/>
      <c r="E37" s="77" t="s">
        <v>39</v>
      </c>
      <c r="F37" s="78" t="s">
        <v>76</v>
      </c>
      <c r="G37" s="95" t="s">
        <v>75</v>
      </c>
      <c r="H37" s="96" t="s">
        <v>218</v>
      </c>
      <c r="I37" s="89" t="str">
        <f t="shared" si="2"/>
        <v>Oportunidad de mejora</v>
      </c>
      <c r="J37" s="87">
        <f t="shared" si="5"/>
        <v>30</v>
      </c>
      <c r="K37" s="91">
        <v>0.23456789123399999</v>
      </c>
      <c r="L37" s="87">
        <f t="shared" si="6"/>
        <v>30.234567891234001</v>
      </c>
      <c r="M37" s="42"/>
      <c r="N37" s="42"/>
      <c r="O37" s="42"/>
      <c r="P37" s="42"/>
      <c r="Q37" s="42"/>
    </row>
    <row r="38" spans="1:32" s="43" customFormat="1" ht="85.5" customHeight="1" x14ac:dyDescent="0.25">
      <c r="A38" s="85" t="str">
        <f>5&amp;E38</f>
        <v>5a</v>
      </c>
      <c r="B38" s="295" t="s">
        <v>77</v>
      </c>
      <c r="C38" s="280" t="s">
        <v>78</v>
      </c>
      <c r="D38" s="298" t="s">
        <v>79</v>
      </c>
      <c r="E38" s="75" t="s">
        <v>34</v>
      </c>
      <c r="F38" s="81" t="s">
        <v>80</v>
      </c>
      <c r="G38" s="99" t="s">
        <v>75</v>
      </c>
      <c r="H38" s="100" t="s">
        <v>219</v>
      </c>
      <c r="I38" s="92" t="str">
        <f t="shared" si="2"/>
        <v>Oportunidad de mejora</v>
      </c>
      <c r="J38" s="87">
        <f>+IF(G38="Si",60,IF(G38="En proceso",50,40))</f>
        <v>50</v>
      </c>
      <c r="K38" s="87">
        <v>0.31</v>
      </c>
      <c r="L38" s="87">
        <f t="shared" si="3"/>
        <v>50.31</v>
      </c>
    </row>
    <row r="39" spans="1:32" s="43" customFormat="1" ht="78.75" x14ac:dyDescent="0.25">
      <c r="A39" s="85" t="str">
        <f t="shared" ref="A39:A42" si="9">5&amp;E39</f>
        <v>5b</v>
      </c>
      <c r="B39" s="296"/>
      <c r="C39" s="281"/>
      <c r="D39" s="299"/>
      <c r="E39" s="77" t="s">
        <v>36</v>
      </c>
      <c r="F39" s="78" t="s">
        <v>81</v>
      </c>
      <c r="G39" s="95" t="s">
        <v>75</v>
      </c>
      <c r="H39" s="96" t="s">
        <v>220</v>
      </c>
      <c r="I39" s="89" t="str">
        <f t="shared" si="2"/>
        <v>Oportunidad de mejora</v>
      </c>
      <c r="J39" s="87">
        <f>+IF(G39="Si",60,IF(G39="En proceso",50,40))</f>
        <v>50</v>
      </c>
      <c r="K39" s="87">
        <v>0.32300000000000001</v>
      </c>
      <c r="L39" s="87">
        <f t="shared" si="3"/>
        <v>50.323</v>
      </c>
    </row>
    <row r="40" spans="1:32" s="43" customFormat="1" ht="66" x14ac:dyDescent="0.25">
      <c r="A40" s="85" t="str">
        <f t="shared" si="9"/>
        <v>5c</v>
      </c>
      <c r="B40" s="296"/>
      <c r="C40" s="281"/>
      <c r="D40" s="299"/>
      <c r="E40" s="77" t="s">
        <v>39</v>
      </c>
      <c r="F40" s="78" t="s">
        <v>82</v>
      </c>
      <c r="G40" s="95" t="s">
        <v>75</v>
      </c>
      <c r="H40" s="96" t="s">
        <v>200</v>
      </c>
      <c r="I40" s="89" t="str">
        <f t="shared" si="2"/>
        <v>Oportunidad de mejora</v>
      </c>
      <c r="J40" s="87">
        <f>+IF(G40="Si",60,IF(G40="En proceso",50,40))</f>
        <v>50</v>
      </c>
      <c r="K40" s="87">
        <v>0.32400000000000001</v>
      </c>
      <c r="L40" s="87">
        <f t="shared" si="3"/>
        <v>50.323999999999998</v>
      </c>
    </row>
    <row r="41" spans="1:32" s="43" customFormat="1" ht="110.25" x14ac:dyDescent="0.25">
      <c r="A41" s="85" t="str">
        <f t="shared" si="9"/>
        <v>5d</v>
      </c>
      <c r="B41" s="296"/>
      <c r="C41" s="281"/>
      <c r="D41" s="299"/>
      <c r="E41" s="77" t="s">
        <v>41</v>
      </c>
      <c r="F41" s="78" t="s">
        <v>83</v>
      </c>
      <c r="G41" s="95" t="s">
        <v>38</v>
      </c>
      <c r="H41" s="96" t="s">
        <v>221</v>
      </c>
      <c r="I41" s="89" t="str">
        <f t="shared" si="2"/>
        <v>Mantenimiento del control</v>
      </c>
      <c r="J41" s="87">
        <f>+IF(G41="Si",60,IF(G41="En proceso",50,40))</f>
        <v>60</v>
      </c>
      <c r="K41" s="87">
        <v>0.32500000000000001</v>
      </c>
      <c r="L41" s="87">
        <f t="shared" si="3"/>
        <v>60.325000000000003</v>
      </c>
    </row>
    <row r="42" spans="1:32" s="43" customFormat="1" ht="99.75" thickBot="1" x14ac:dyDescent="0.3">
      <c r="A42" s="85" t="str">
        <f t="shared" si="9"/>
        <v>5e</v>
      </c>
      <c r="B42" s="297"/>
      <c r="C42" s="282"/>
      <c r="D42" s="300"/>
      <c r="E42" s="79" t="s">
        <v>43</v>
      </c>
      <c r="F42" s="80" t="s">
        <v>84</v>
      </c>
      <c r="G42" s="97" t="s">
        <v>38</v>
      </c>
      <c r="H42" s="98" t="s">
        <v>222</v>
      </c>
      <c r="I42" s="90" t="str">
        <f t="shared" si="2"/>
        <v>Mantenimiento del control</v>
      </c>
      <c r="J42" s="87">
        <f>+IF(G42="Si",60,IF(G42="En proceso",50,40))</f>
        <v>60</v>
      </c>
      <c r="K42" s="87">
        <v>0.32600000000000001</v>
      </c>
      <c r="L42" s="87">
        <f t="shared" si="3"/>
        <v>60.326000000000001</v>
      </c>
    </row>
    <row r="43" spans="1:32" s="43" customFormat="1" ht="66" x14ac:dyDescent="0.25">
      <c r="A43" s="85" t="str">
        <f>6&amp;E43</f>
        <v>6a</v>
      </c>
      <c r="B43" s="252" t="s">
        <v>85</v>
      </c>
      <c r="C43" s="283" t="s">
        <v>86</v>
      </c>
      <c r="D43" s="249" t="s">
        <v>87</v>
      </c>
      <c r="E43" s="75" t="s">
        <v>34</v>
      </c>
      <c r="F43" s="76" t="s">
        <v>88</v>
      </c>
      <c r="G43" s="93" t="s">
        <v>75</v>
      </c>
      <c r="H43" s="94" t="s">
        <v>201</v>
      </c>
      <c r="I43" s="86" t="str">
        <f t="shared" si="2"/>
        <v>Oportunidad de mejora</v>
      </c>
      <c r="J43" s="87">
        <f t="shared" ref="J43:J49" si="10">+IF(G43="Si",80,IF(G43="En proceso",70,60))</f>
        <v>70</v>
      </c>
      <c r="K43" s="87">
        <v>0.41199999999999998</v>
      </c>
      <c r="L43" s="87">
        <f t="shared" si="3"/>
        <v>70.412000000000006</v>
      </c>
    </row>
    <row r="44" spans="1:32" s="43" customFormat="1" ht="33" customHeight="1" x14ac:dyDescent="0.25">
      <c r="A44" s="85" t="str">
        <f t="shared" ref="A44:A49" si="11">6&amp;E44</f>
        <v>6b</v>
      </c>
      <c r="B44" s="253"/>
      <c r="C44" s="284"/>
      <c r="D44" s="250"/>
      <c r="E44" s="77" t="s">
        <v>36</v>
      </c>
      <c r="F44" s="78" t="s">
        <v>89</v>
      </c>
      <c r="G44" s="95" t="s">
        <v>38</v>
      </c>
      <c r="H44" s="96" t="s">
        <v>202</v>
      </c>
      <c r="I44" s="89" t="str">
        <f t="shared" si="2"/>
        <v>Mantenimiento del control</v>
      </c>
      <c r="J44" s="87">
        <f t="shared" si="10"/>
        <v>80</v>
      </c>
      <c r="K44" s="87">
        <v>0.4123</v>
      </c>
      <c r="L44" s="87">
        <f t="shared" si="3"/>
        <v>80.412300000000002</v>
      </c>
    </row>
    <row r="45" spans="1:32" s="43" customFormat="1" ht="49.5" x14ac:dyDescent="0.25">
      <c r="A45" s="85" t="str">
        <f t="shared" si="11"/>
        <v>6c</v>
      </c>
      <c r="B45" s="253"/>
      <c r="C45" s="284"/>
      <c r="D45" s="250"/>
      <c r="E45" s="77" t="s">
        <v>39</v>
      </c>
      <c r="F45" s="78" t="s">
        <v>90</v>
      </c>
      <c r="G45" s="176" t="s">
        <v>38</v>
      </c>
      <c r="H45" s="96" t="s">
        <v>223</v>
      </c>
      <c r="I45" s="89" t="str">
        <f t="shared" si="2"/>
        <v>Mantenimiento del control</v>
      </c>
      <c r="J45" s="87">
        <f t="shared" si="10"/>
        <v>80</v>
      </c>
      <c r="K45" s="87">
        <v>0.41233999999999998</v>
      </c>
      <c r="L45" s="87">
        <f t="shared" si="3"/>
        <v>80.41234</v>
      </c>
    </row>
    <row r="46" spans="1:32" s="43" customFormat="1" ht="49.5" x14ac:dyDescent="0.25">
      <c r="A46" s="85" t="str">
        <f t="shared" si="11"/>
        <v>6d</v>
      </c>
      <c r="B46" s="253"/>
      <c r="C46" s="284"/>
      <c r="D46" s="250"/>
      <c r="E46" s="77" t="s">
        <v>41</v>
      </c>
      <c r="F46" s="78" t="s">
        <v>91</v>
      </c>
      <c r="G46" s="95" t="s">
        <v>75</v>
      </c>
      <c r="H46" s="96" t="s">
        <v>227</v>
      </c>
      <c r="I46" s="89" t="str">
        <f t="shared" si="2"/>
        <v>Oportunidad de mejora</v>
      </c>
      <c r="J46" s="87">
        <f t="shared" si="10"/>
        <v>70</v>
      </c>
      <c r="K46" s="87">
        <v>0.41234500000000002</v>
      </c>
      <c r="L46" s="87">
        <f t="shared" si="3"/>
        <v>70.412345000000002</v>
      </c>
    </row>
    <row r="47" spans="1:32" s="43" customFormat="1" ht="63" x14ac:dyDescent="0.25">
      <c r="A47" s="85" t="str">
        <f t="shared" si="11"/>
        <v>6e</v>
      </c>
      <c r="B47" s="253"/>
      <c r="C47" s="284"/>
      <c r="D47" s="250"/>
      <c r="E47" s="77" t="s">
        <v>43</v>
      </c>
      <c r="F47" s="78" t="s">
        <v>92</v>
      </c>
      <c r="G47" s="95" t="s">
        <v>75</v>
      </c>
      <c r="H47" s="96" t="s">
        <v>224</v>
      </c>
      <c r="I47" s="89" t="str">
        <f t="shared" si="2"/>
        <v>Oportunidad de mejora</v>
      </c>
      <c r="J47" s="87">
        <f t="shared" si="10"/>
        <v>70</v>
      </c>
      <c r="K47" s="87">
        <v>0.41234559999999998</v>
      </c>
      <c r="L47" s="87">
        <f t="shared" si="3"/>
        <v>70.412345599999995</v>
      </c>
    </row>
    <row r="48" spans="1:32" s="43" customFormat="1" ht="66" x14ac:dyDescent="0.25">
      <c r="A48" s="85" t="str">
        <f t="shared" si="11"/>
        <v>6f</v>
      </c>
      <c r="B48" s="253"/>
      <c r="C48" s="284"/>
      <c r="D48" s="250"/>
      <c r="E48" s="77" t="s">
        <v>45</v>
      </c>
      <c r="F48" s="78" t="s">
        <v>93</v>
      </c>
      <c r="G48" s="95" t="s">
        <v>38</v>
      </c>
      <c r="H48" s="96" t="s">
        <v>225</v>
      </c>
      <c r="I48" s="89" t="str">
        <f t="shared" si="2"/>
        <v>Mantenimiento del control</v>
      </c>
      <c r="J48" s="87">
        <f t="shared" si="10"/>
        <v>80</v>
      </c>
      <c r="K48" s="87">
        <v>0.41234567</v>
      </c>
      <c r="L48" s="87">
        <f t="shared" si="3"/>
        <v>80.412345669999993</v>
      </c>
    </row>
    <row r="49" spans="1:17" s="43" customFormat="1" ht="99.75" thickBot="1" x14ac:dyDescent="0.3">
      <c r="A49" s="85" t="str">
        <f t="shared" si="11"/>
        <v>6g</v>
      </c>
      <c r="B49" s="254"/>
      <c r="C49" s="285"/>
      <c r="D49" s="251"/>
      <c r="E49" s="79" t="s">
        <v>47</v>
      </c>
      <c r="F49" s="80" t="s">
        <v>94</v>
      </c>
      <c r="G49" s="97" t="s">
        <v>75</v>
      </c>
      <c r="H49" s="98" t="s">
        <v>226</v>
      </c>
      <c r="I49" s="90" t="str">
        <f t="shared" si="2"/>
        <v>Oportunidad de mejora</v>
      </c>
      <c r="J49" s="87">
        <f t="shared" si="10"/>
        <v>70</v>
      </c>
      <c r="K49" s="87">
        <v>0.41234567799999999</v>
      </c>
      <c r="L49" s="87">
        <f t="shared" si="3"/>
        <v>70.412345677999994</v>
      </c>
    </row>
    <row r="50" spans="1:17" s="43" customFormat="1" ht="82.5" x14ac:dyDescent="0.25">
      <c r="A50" s="85" t="str">
        <f>7&amp;E50</f>
        <v>7a</v>
      </c>
      <c r="B50" s="258" t="s">
        <v>95</v>
      </c>
      <c r="C50" s="286" t="s">
        <v>96</v>
      </c>
      <c r="D50" s="255" t="s">
        <v>97</v>
      </c>
      <c r="E50" s="75" t="s">
        <v>34</v>
      </c>
      <c r="F50" s="76" t="s">
        <v>98</v>
      </c>
      <c r="G50" s="93" t="s">
        <v>38</v>
      </c>
      <c r="H50" s="94" t="s">
        <v>228</v>
      </c>
      <c r="I50" s="86" t="str">
        <f t="shared" si="2"/>
        <v>Mantenimiento del control</v>
      </c>
      <c r="J50" s="87">
        <f>+IF(G50="Si",120,IF(G50="En proceso",100,80))</f>
        <v>120</v>
      </c>
      <c r="K50" s="87">
        <v>0.85099999999999998</v>
      </c>
      <c r="L50" s="87">
        <f t="shared" si="3"/>
        <v>120.851</v>
      </c>
    </row>
    <row r="51" spans="1:17" s="43" customFormat="1" ht="165" x14ac:dyDescent="0.25">
      <c r="A51" s="85" t="str">
        <f t="shared" ref="A51:A53" si="12">7&amp;E51</f>
        <v>7d</v>
      </c>
      <c r="B51" s="259"/>
      <c r="C51" s="287"/>
      <c r="D51" s="256"/>
      <c r="E51" s="77" t="s">
        <v>41</v>
      </c>
      <c r="F51" s="78" t="s">
        <v>99</v>
      </c>
      <c r="G51" s="95" t="s">
        <v>75</v>
      </c>
      <c r="H51" s="96" t="s">
        <v>229</v>
      </c>
      <c r="I51" s="89" t="str">
        <f t="shared" si="2"/>
        <v>Oportunidad de mejora</v>
      </c>
      <c r="J51" s="87">
        <f t="shared" ref="J51:J59" si="13">+IF(G51="Si",120,IF(G51="En proceso",100,80))</f>
        <v>100</v>
      </c>
      <c r="K51" s="87">
        <v>0.85119999999999996</v>
      </c>
      <c r="L51" s="87">
        <f t="shared" si="3"/>
        <v>100.85120000000001</v>
      </c>
    </row>
    <row r="52" spans="1:17" s="43" customFormat="1" ht="66" x14ac:dyDescent="0.25">
      <c r="A52" s="85" t="str">
        <f t="shared" si="12"/>
        <v>7f</v>
      </c>
      <c r="B52" s="259"/>
      <c r="C52" s="287"/>
      <c r="D52" s="256"/>
      <c r="E52" s="77" t="s">
        <v>45</v>
      </c>
      <c r="F52" s="78" t="s">
        <v>100</v>
      </c>
      <c r="G52" s="95" t="s">
        <v>38</v>
      </c>
      <c r="H52" s="96" t="s">
        <v>230</v>
      </c>
      <c r="I52" s="89" t="str">
        <f t="shared" si="2"/>
        <v>Mantenimiento del control</v>
      </c>
      <c r="J52" s="87">
        <f t="shared" si="13"/>
        <v>120</v>
      </c>
      <c r="K52" s="87">
        <v>0.85123000000000004</v>
      </c>
      <c r="L52" s="87">
        <f t="shared" si="3"/>
        <v>120.85123</v>
      </c>
    </row>
    <row r="53" spans="1:17" s="43" customFormat="1" ht="116.25" thickBot="1" x14ac:dyDescent="0.3">
      <c r="A53" s="85" t="str">
        <f t="shared" si="12"/>
        <v>7g</v>
      </c>
      <c r="B53" s="260"/>
      <c r="C53" s="288"/>
      <c r="D53" s="257"/>
      <c r="E53" s="79" t="s">
        <v>47</v>
      </c>
      <c r="F53" s="80" t="s">
        <v>101</v>
      </c>
      <c r="G53" s="97" t="s">
        <v>38</v>
      </c>
      <c r="H53" s="98" t="s">
        <v>231</v>
      </c>
      <c r="I53" s="90" t="str">
        <f t="shared" si="2"/>
        <v>Mantenimiento del control</v>
      </c>
      <c r="J53" s="87">
        <f t="shared" si="13"/>
        <v>120</v>
      </c>
      <c r="K53" s="87">
        <v>0.85123400000000005</v>
      </c>
      <c r="L53" s="87">
        <f t="shared" si="3"/>
        <v>120.85123400000001</v>
      </c>
    </row>
    <row r="54" spans="1:17" s="43" customFormat="1" ht="300" thickBot="1" x14ac:dyDescent="0.3">
      <c r="A54" s="85" t="str">
        <f>8&amp;E54</f>
        <v>8h</v>
      </c>
      <c r="B54" s="136" t="s">
        <v>102</v>
      </c>
      <c r="C54" s="137" t="s">
        <v>96</v>
      </c>
      <c r="D54" s="70" t="s">
        <v>103</v>
      </c>
      <c r="E54" s="75" t="s">
        <v>49</v>
      </c>
      <c r="F54" s="76" t="s">
        <v>104</v>
      </c>
      <c r="G54" s="93" t="s">
        <v>38</v>
      </c>
      <c r="H54" s="94" t="s">
        <v>232</v>
      </c>
      <c r="I54" s="86" t="str">
        <f t="shared" si="2"/>
        <v>Mantenimiento del control</v>
      </c>
      <c r="J54" s="87">
        <f t="shared" si="13"/>
        <v>120</v>
      </c>
      <c r="K54" s="87">
        <v>0.85123450000000001</v>
      </c>
      <c r="L54" s="87">
        <f t="shared" si="3"/>
        <v>120.8512345</v>
      </c>
    </row>
    <row r="55" spans="1:17" s="43" customFormat="1" ht="84" customHeight="1" x14ac:dyDescent="0.25">
      <c r="A55" s="85" t="str">
        <f>9&amp;E55</f>
        <v>9a</v>
      </c>
      <c r="B55" s="258" t="s">
        <v>105</v>
      </c>
      <c r="C55" s="286" t="s">
        <v>96</v>
      </c>
      <c r="D55" s="255" t="s">
        <v>106</v>
      </c>
      <c r="E55" s="75" t="s">
        <v>34</v>
      </c>
      <c r="F55" s="76" t="s">
        <v>107</v>
      </c>
      <c r="G55" s="93" t="s">
        <v>75</v>
      </c>
      <c r="H55" s="94" t="s">
        <v>203</v>
      </c>
      <c r="I55" s="86" t="str">
        <f t="shared" si="2"/>
        <v>Oportunidad de mejora</v>
      </c>
      <c r="J55" s="87">
        <f t="shared" si="13"/>
        <v>100</v>
      </c>
      <c r="K55" s="91">
        <v>0.85123455999999997</v>
      </c>
      <c r="L55" s="87">
        <f t="shared" si="3"/>
        <v>100.85123455999999</v>
      </c>
      <c r="M55" s="42"/>
      <c r="N55" s="42"/>
      <c r="O55" s="42"/>
      <c r="P55" s="42"/>
      <c r="Q55" s="42"/>
    </row>
    <row r="56" spans="1:17" s="43" customFormat="1" ht="66" x14ac:dyDescent="0.25">
      <c r="A56" s="85" t="str">
        <f t="shared" ref="A56:A59" si="14">9&amp;E56</f>
        <v>9b</v>
      </c>
      <c r="B56" s="259"/>
      <c r="C56" s="287"/>
      <c r="D56" s="256"/>
      <c r="E56" s="77" t="s">
        <v>36</v>
      </c>
      <c r="F56" s="78" t="s">
        <v>108</v>
      </c>
      <c r="G56" s="95" t="s">
        <v>75</v>
      </c>
      <c r="H56" s="96" t="s">
        <v>233</v>
      </c>
      <c r="I56" s="89" t="str">
        <f t="shared" si="2"/>
        <v>Oportunidad de mejora</v>
      </c>
      <c r="J56" s="87">
        <f t="shared" si="13"/>
        <v>100</v>
      </c>
      <c r="K56" s="91">
        <v>0.851234567</v>
      </c>
      <c r="L56" s="87">
        <f t="shared" si="3"/>
        <v>100.85123456700001</v>
      </c>
      <c r="M56" s="42"/>
      <c r="N56" s="42"/>
      <c r="O56" s="42"/>
      <c r="P56" s="42"/>
      <c r="Q56" s="42"/>
    </row>
    <row r="57" spans="1:17" s="43" customFormat="1" ht="115.5" x14ac:dyDescent="0.25">
      <c r="A57" s="85" t="str">
        <f t="shared" si="14"/>
        <v>9c</v>
      </c>
      <c r="B57" s="259"/>
      <c r="C57" s="287"/>
      <c r="D57" s="256"/>
      <c r="E57" s="77" t="s">
        <v>39</v>
      </c>
      <c r="F57" s="78" t="s">
        <v>109</v>
      </c>
      <c r="G57" s="95" t="s">
        <v>75</v>
      </c>
      <c r="H57" s="96" t="s">
        <v>234</v>
      </c>
      <c r="I57" s="89" t="str">
        <f t="shared" si="2"/>
        <v>Oportunidad de mejora</v>
      </c>
      <c r="J57" s="87">
        <f t="shared" si="13"/>
        <v>100</v>
      </c>
      <c r="K57" s="91">
        <v>0.85123456779999995</v>
      </c>
      <c r="L57" s="87">
        <f t="shared" si="3"/>
        <v>100.85123456780001</v>
      </c>
      <c r="M57" s="42"/>
      <c r="N57" s="42"/>
      <c r="O57" s="42"/>
      <c r="P57" s="42"/>
      <c r="Q57" s="42"/>
    </row>
    <row r="58" spans="1:17" s="43" customFormat="1" ht="77.25" customHeight="1" x14ac:dyDescent="0.25">
      <c r="A58" s="85" t="str">
        <f t="shared" si="14"/>
        <v>9d</v>
      </c>
      <c r="B58" s="259"/>
      <c r="C58" s="287"/>
      <c r="D58" s="256"/>
      <c r="E58" s="77" t="s">
        <v>41</v>
      </c>
      <c r="F58" s="78" t="s">
        <v>110</v>
      </c>
      <c r="G58" s="95" t="s">
        <v>75</v>
      </c>
      <c r="H58" s="96" t="s">
        <v>204</v>
      </c>
      <c r="I58" s="89" t="str">
        <f t="shared" si="2"/>
        <v>Oportunidad de mejora</v>
      </c>
      <c r="J58" s="87">
        <f t="shared" si="13"/>
        <v>100</v>
      </c>
      <c r="K58" s="91">
        <v>0.85123456788999996</v>
      </c>
      <c r="L58" s="87">
        <f t="shared" si="3"/>
        <v>100.85123456789</v>
      </c>
      <c r="M58" s="42"/>
      <c r="N58" s="42"/>
      <c r="O58" s="42"/>
      <c r="P58" s="42"/>
      <c r="Q58" s="42"/>
    </row>
    <row r="59" spans="1:17" s="43" customFormat="1" ht="77.25" customHeight="1" thickBot="1" x14ac:dyDescent="0.3">
      <c r="A59" s="85" t="str">
        <f t="shared" si="14"/>
        <v>9e</v>
      </c>
      <c r="B59" s="260"/>
      <c r="C59" s="287"/>
      <c r="D59" s="273"/>
      <c r="E59" s="79" t="s">
        <v>43</v>
      </c>
      <c r="F59" s="80" t="s">
        <v>111</v>
      </c>
      <c r="G59" s="97" t="s">
        <v>75</v>
      </c>
      <c r="H59" s="98" t="s">
        <v>205</v>
      </c>
      <c r="I59" s="90" t="str">
        <f t="shared" si="2"/>
        <v>Oportunidad de mejora</v>
      </c>
      <c r="J59" s="87">
        <f t="shared" si="13"/>
        <v>100</v>
      </c>
      <c r="K59" s="91">
        <v>0.85123456789100005</v>
      </c>
      <c r="L59" s="87">
        <f t="shared" si="3"/>
        <v>100.851234567891</v>
      </c>
      <c r="M59" s="42"/>
      <c r="N59" s="42"/>
      <c r="O59" s="42"/>
      <c r="P59" s="42"/>
      <c r="Q59" s="42"/>
    </row>
  </sheetData>
  <sheetProtection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47" zoomScale="80" zoomScaleNormal="80" workbookViewId="0">
      <selection activeCell="F19" sqref="F19"/>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301" t="s">
        <v>112</v>
      </c>
      <c r="D7" s="302"/>
      <c r="E7" s="302"/>
      <c r="F7" s="302"/>
      <c r="G7" s="302"/>
      <c r="H7" s="302"/>
      <c r="I7" s="302"/>
      <c r="J7" s="302"/>
      <c r="K7" s="303"/>
    </row>
    <row r="8" spans="1:11" s="1" customFormat="1" ht="15.75" thickBot="1" x14ac:dyDescent="0.3">
      <c r="C8" s="33"/>
      <c r="D8" s="33"/>
      <c r="E8" s="34"/>
      <c r="F8" s="34"/>
      <c r="G8" s="34"/>
      <c r="H8" s="34"/>
      <c r="I8" s="44"/>
      <c r="J8" s="34"/>
      <c r="K8" s="34"/>
    </row>
    <row r="9" spans="1:11" ht="21" thickBot="1" x14ac:dyDescent="0.3">
      <c r="A9" s="1"/>
      <c r="B9" s="1"/>
      <c r="C9" s="207" t="s">
        <v>15</v>
      </c>
      <c r="D9" s="208"/>
      <c r="E9" s="208" t="s">
        <v>16</v>
      </c>
      <c r="F9" s="219"/>
      <c r="G9" s="34"/>
      <c r="H9" s="34"/>
      <c r="I9" s="44"/>
      <c r="J9" s="34"/>
      <c r="K9" s="34"/>
    </row>
    <row r="10" spans="1:11" ht="54" customHeight="1" x14ac:dyDescent="0.25">
      <c r="A10" s="1"/>
      <c r="B10" s="1"/>
      <c r="C10" s="220" t="s">
        <v>17</v>
      </c>
      <c r="D10" s="221"/>
      <c r="E10" s="222" t="s">
        <v>18</v>
      </c>
      <c r="F10" s="223"/>
      <c r="G10" s="35"/>
      <c r="H10" s="36">
        <v>1</v>
      </c>
      <c r="I10" s="44"/>
      <c r="J10" s="34"/>
      <c r="K10" s="34"/>
    </row>
    <row r="11" spans="1:11" ht="46.5" customHeight="1" x14ac:dyDescent="0.25">
      <c r="A11" s="1"/>
      <c r="B11" s="1"/>
      <c r="C11" s="209" t="s">
        <v>19</v>
      </c>
      <c r="D11" s="210"/>
      <c r="E11" s="211" t="s">
        <v>113</v>
      </c>
      <c r="F11" s="212"/>
      <c r="G11" s="37" t="s">
        <v>114</v>
      </c>
      <c r="H11" s="36">
        <v>0.75</v>
      </c>
      <c r="I11" s="44"/>
      <c r="J11" s="34"/>
      <c r="K11" s="34"/>
    </row>
    <row r="12" spans="1:11" ht="70.5" customHeight="1" thickBot="1" x14ac:dyDescent="0.3">
      <c r="A12" s="1"/>
      <c r="B12" s="1"/>
      <c r="C12" s="213" t="s">
        <v>21</v>
      </c>
      <c r="D12" s="214"/>
      <c r="E12" s="215" t="s">
        <v>115</v>
      </c>
      <c r="F12" s="216"/>
      <c r="G12" s="38"/>
      <c r="H12" s="36">
        <v>0.25</v>
      </c>
      <c r="I12" s="44"/>
      <c r="J12" s="34"/>
      <c r="K12" s="34"/>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309" t="s">
        <v>116</v>
      </c>
      <c r="D17" s="311" t="s">
        <v>117</v>
      </c>
      <c r="E17" s="312"/>
      <c r="F17" s="313" t="s">
        <v>118</v>
      </c>
      <c r="G17" s="315" t="s">
        <v>119</v>
      </c>
      <c r="H17" s="32"/>
      <c r="I17" s="304" t="s">
        <v>120</v>
      </c>
      <c r="J17" s="304" t="s">
        <v>121</v>
      </c>
    </row>
    <row r="18" spans="1:10" ht="36" customHeight="1" thickBot="1" x14ac:dyDescent="0.3">
      <c r="A18" s="1"/>
      <c r="B18" s="1"/>
      <c r="C18" s="310"/>
      <c r="D18" s="101" t="s">
        <v>122</v>
      </c>
      <c r="E18" s="102" t="s">
        <v>27</v>
      </c>
      <c r="F18" s="314"/>
      <c r="G18" s="316"/>
      <c r="H18" s="32"/>
      <c r="I18" s="305"/>
      <c r="J18" s="305"/>
    </row>
    <row r="19" spans="1:10" ht="65.25" customHeight="1" x14ac:dyDescent="0.25">
      <c r="A19" s="1"/>
      <c r="B19" s="1"/>
      <c r="C19" s="120">
        <v>1</v>
      </c>
      <c r="D19" s="306" t="s">
        <v>32</v>
      </c>
      <c r="E19" s="103" t="str">
        <f>+IFERROR(INDEX(Hoja1!$E$2:$E$45,MATCH('Análisis Resultados'!C19,Hoja1!$H$2:$H$45,0)),"")</f>
        <v>Documento interno o adopción del MECI actualizado</v>
      </c>
      <c r="F19" s="104" t="str">
        <f>+IFERROR(VLOOKUP(C19,Hoja1!$H$2:$I$45,2,0),"")</f>
        <v>En proceso</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9" s="17"/>
      <c r="I19" s="121">
        <f>+IF(F19="Si",1,IF(F19="En proceso",0.5,0))</f>
        <v>0.5</v>
      </c>
      <c r="J19" s="319">
        <f>+AVERAGE(I19:I30)</f>
        <v>0.66666666666666663</v>
      </c>
    </row>
    <row r="20" spans="1:10" ht="57" x14ac:dyDescent="0.25">
      <c r="A20" s="1"/>
      <c r="B20" s="1"/>
      <c r="C20" s="120">
        <v>2</v>
      </c>
      <c r="D20" s="307"/>
      <c r="E20" s="106" t="str">
        <f>+IFERROR(INDEX(Hoja1!$E$2:$E$45,MATCH('Análisis Resultados'!C20,Hoja1!$H$2:$H$45,0)),"")</f>
        <v>Un documento tal como un código de ética, integridad u otro que formalice los estándares de conducta, los principios institucionales o los valores del servicio público</v>
      </c>
      <c r="F20" s="107" t="str">
        <f>+IFERROR(VLOOKUP(C20,Hoja1!$H$2:$I$45,2,0),"")</f>
        <v>En proceso</v>
      </c>
      <c r="G20" s="10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7"/>
      <c r="I20" s="122">
        <f t="shared" ref="I20:I62" si="1">+IF(F20="Si",1,IF(F20="En proceso",0.5,0))</f>
        <v>0.5</v>
      </c>
      <c r="J20" s="320"/>
    </row>
    <row r="21" spans="1:10" ht="42.75" x14ac:dyDescent="0.25">
      <c r="A21" s="1"/>
      <c r="B21" s="1"/>
      <c r="C21" s="120">
        <v>3</v>
      </c>
      <c r="D21" s="307"/>
      <c r="E21" s="106" t="str">
        <f>+IFERROR(INDEX(Hoja1!$E$2:$E$45,MATCH('Análisis Resultados'!C21,Hoja1!$H$2:$H$45,0)),"")</f>
        <v>Planes, programas y proyectos de acuerdo con las normas que rigen y atendiendo con su propósito fundamental institucional (misión)</v>
      </c>
      <c r="F21" s="107" t="str">
        <f>+IFERROR(VLOOKUP(C21,Hoja1!$H$2:$I$45,2,0),"")</f>
        <v>En proceso</v>
      </c>
      <c r="G21" s="108" t="str">
        <f t="shared" si="0"/>
        <v>Se encuentra en proceso, pero requiere continuar con acciones dirigidas a contar con dicho aspecto de control.</v>
      </c>
      <c r="H21" s="17"/>
      <c r="I21" s="122">
        <f t="shared" si="1"/>
        <v>0.5</v>
      </c>
      <c r="J21" s="320"/>
    </row>
    <row r="22" spans="1:10" ht="56.25" customHeight="1" x14ac:dyDescent="0.25">
      <c r="A22" s="1"/>
      <c r="B22" s="1"/>
      <c r="C22" s="120">
        <v>4</v>
      </c>
      <c r="D22" s="307"/>
      <c r="E22" s="106" t="str">
        <f>+IFERROR(INDEX(Hoja1!$E$2:$E$45,MATCH('Análisis Resultados'!C22,Hoja1!$H$2:$H$45,0)),"")</f>
        <v>Un manual de funciones que describa los empleos de la entidad</v>
      </c>
      <c r="F22" s="107" t="str">
        <f>+IFERROR(VLOOKUP(C22,Hoja1!$H$2:$I$45,2,0),"")</f>
        <v>En proceso</v>
      </c>
      <c r="G22" s="108" t="str">
        <f t="shared" si="0"/>
        <v>Se encuentra en proceso, pero requiere continuar con acciones dirigidas a contar con dicho aspecto de control.</v>
      </c>
      <c r="H22" s="17"/>
      <c r="I22" s="122">
        <f t="shared" si="1"/>
        <v>0.5</v>
      </c>
      <c r="J22" s="320"/>
    </row>
    <row r="23" spans="1:10" ht="42.75" x14ac:dyDescent="0.25">
      <c r="A23" s="1"/>
      <c r="B23" s="1"/>
      <c r="C23" s="120">
        <v>5</v>
      </c>
      <c r="D23" s="307"/>
      <c r="E23" s="106" t="str">
        <f>+IFERROR(INDEX(Hoja1!$E$2:$E$45,MATCH('Análisis Resultados'!C23,Hoja1!$H$2:$H$45,0)),"")</f>
        <v>La documentación de sus procesos y procedimientos o bien una lista de actividades principales que permitan conocer el estado de su gestión</v>
      </c>
      <c r="F23" s="107" t="str">
        <f>+IFERROR(VLOOKUP(C23,Hoja1!$H$2:$I$45,2,0),"")</f>
        <v>En proceso</v>
      </c>
      <c r="G23" s="108" t="str">
        <f t="shared" si="0"/>
        <v>Se encuentra en proceso, pero requiere continuar con acciones dirigidas a contar con dicho aspecto de control.</v>
      </c>
      <c r="H23" s="17"/>
      <c r="I23" s="122">
        <f t="shared" si="1"/>
        <v>0.5</v>
      </c>
      <c r="J23" s="320"/>
    </row>
    <row r="24" spans="1:10" ht="42.75" x14ac:dyDescent="0.25">
      <c r="A24" s="1"/>
      <c r="B24" s="1"/>
      <c r="C24" s="120">
        <v>6</v>
      </c>
      <c r="D24" s="307"/>
      <c r="E24" s="106" t="str">
        <f>+IFERROR(INDEX(Hoja1!$E$2:$E$45,MATCH('Análisis Resultados'!C24,Hoja1!$H$2:$H$45,0)),"")</f>
        <v>Procesos de inducción, capacitación y bienestar social para sus servidores públicos, de manera directa o en asociación con otras entidades municipales</v>
      </c>
      <c r="F24" s="107" t="str">
        <f>+IFERROR(VLOOKUP(C24,Hoja1!$H$2:$I$45,2,0),"")</f>
        <v>En proceso</v>
      </c>
      <c r="G24" s="108" t="str">
        <f t="shared" si="0"/>
        <v>Se encuentra en proceso, pero requiere continuar con acciones dirigidas a contar con dicho aspecto de control.</v>
      </c>
      <c r="H24" s="17"/>
      <c r="I24" s="122">
        <f t="shared" si="1"/>
        <v>0.5</v>
      </c>
      <c r="J24" s="320"/>
    </row>
    <row r="25" spans="1:10" ht="33.75" x14ac:dyDescent="0.25">
      <c r="A25" s="1"/>
      <c r="B25" s="1"/>
      <c r="C25" s="120">
        <v>7</v>
      </c>
      <c r="D25" s="307"/>
      <c r="E25" s="106" t="str">
        <f>+IFERROR(INDEX(Hoja1!$E$2:$E$45,MATCH('Análisis Resultados'!C25,Hoja1!$H$2:$H$45,0)),"")</f>
        <v>Procesos de desvinculación de servidores de acuerdo con lo previsto en la Constitución Política y las leyes</v>
      </c>
      <c r="F25" s="107" t="str">
        <f>+IFERROR(VLOOKUP(C25,Hoja1!$H$2:$I$45,2,0),"")</f>
        <v>En proceso</v>
      </c>
      <c r="G25" s="108" t="str">
        <f t="shared" si="0"/>
        <v>Se encuentra en proceso, pero requiere continuar con acciones dirigidas a contar con dicho aspecto de control.</v>
      </c>
      <c r="H25" s="17"/>
      <c r="I25" s="122">
        <f t="shared" si="1"/>
        <v>0.5</v>
      </c>
      <c r="J25" s="320"/>
    </row>
    <row r="26" spans="1:10" ht="33.75" x14ac:dyDescent="0.25">
      <c r="A26" s="1"/>
      <c r="B26" s="1"/>
      <c r="C26" s="120">
        <v>8</v>
      </c>
      <c r="D26" s="307"/>
      <c r="E26" s="106" t="str">
        <f>+IFERROR(INDEX(Hoja1!$E$2:$E$45,MATCH('Análisis Resultados'!C26,Hoja1!$H$2:$H$45,0)),"")</f>
        <v>Mecanismos de rendición de cuentas a la ciudadanía</v>
      </c>
      <c r="F26" s="107" t="str">
        <f>+IFERROR(VLOOKUP(C26,Hoja1!$H$2:$I$45,2,0),"")</f>
        <v>En proceso</v>
      </c>
      <c r="G26" s="108" t="str">
        <f t="shared" si="0"/>
        <v>Se encuentra en proceso, pero requiere continuar con acciones dirigidas a contar con dicho aspecto de control.</v>
      </c>
      <c r="H26" s="17"/>
      <c r="I26" s="122">
        <f t="shared" si="1"/>
        <v>0.5</v>
      </c>
      <c r="J26" s="320"/>
    </row>
    <row r="27" spans="1:10" ht="45" x14ac:dyDescent="0.25">
      <c r="A27" s="1"/>
      <c r="B27" s="1"/>
      <c r="C27" s="120">
        <v>9</v>
      </c>
      <c r="D27" s="307"/>
      <c r="E27" s="106" t="str">
        <f>+IFERROR(INDEX(Hoja1!$E$2:$E$45,MATCH('Análisis Resultados'!C27,Hoja1!$H$2:$H$45,0)),"")</f>
        <v>Una estructura organizacional formalizada (organigrama)</v>
      </c>
      <c r="F27" s="107" t="str">
        <f>+IFERROR(VLOOKUP(C27,Hoja1!$H$2:$I$45,2,0),"")</f>
        <v>Si</v>
      </c>
      <c r="G27" s="108" t="str">
        <f t="shared" si="0"/>
        <v>Existe requerimiento pero se requiere actividades  dirigidas a su mantenimiento dentro del marco de las lineas de defensa.</v>
      </c>
      <c r="H27" s="17"/>
      <c r="I27" s="122">
        <f t="shared" si="1"/>
        <v>1</v>
      </c>
      <c r="J27" s="320"/>
    </row>
    <row r="28" spans="1:10" ht="45" x14ac:dyDescent="0.25">
      <c r="A28" s="1"/>
      <c r="B28" s="1"/>
      <c r="C28" s="120">
        <v>10</v>
      </c>
      <c r="D28" s="307"/>
      <c r="E28" s="106" t="str">
        <f>+IFERROR(INDEX(Hoja1!$E$2:$E$45,MATCH('Análisis Resultados'!C28,Hoja1!$H$2:$H$45,0)),"")</f>
        <v>Vinculación de los servidores públicos de acuerdo con el marco normativo que les rige (carrera administrativa, libre nombramiento y remoción, entre otros)</v>
      </c>
      <c r="F28" s="107" t="str">
        <f>+IFERROR(VLOOKUP(C28,Hoja1!$H$2:$I$45,2,0),"")</f>
        <v>Si</v>
      </c>
      <c r="G28" s="108" t="str">
        <f t="shared" si="0"/>
        <v>Existe requerimiento pero se requiere actividades  dirigidas a su mantenimiento dentro del marco de las lineas de defensa.</v>
      </c>
      <c r="H28" s="17"/>
      <c r="I28" s="122">
        <f t="shared" si="1"/>
        <v>1</v>
      </c>
      <c r="J28" s="320"/>
    </row>
    <row r="29" spans="1:10" ht="45" x14ac:dyDescent="0.25">
      <c r="A29" s="1"/>
      <c r="B29" s="1"/>
      <c r="C29" s="120">
        <v>11</v>
      </c>
      <c r="D29" s="307"/>
      <c r="E29" s="106" t="str">
        <f>+IFERROR(INDEX(Hoja1!$E$2:$E$45,MATCH('Análisis Resultados'!C29,Hoja1!$H$2:$H$45,0)),"")</f>
        <v>Evaluación a los servidores públicos de acuerdo con el marco normativo que le rige</v>
      </c>
      <c r="F29" s="107" t="str">
        <f>+IFERROR(VLOOKUP(C29,Hoja1!$H$2:$I$45,2,0),"")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7"/>
      <c r="I29" s="122">
        <f t="shared" si="1"/>
        <v>1</v>
      </c>
      <c r="J29" s="320"/>
    </row>
    <row r="30" spans="1:10" ht="45.75" thickBot="1" x14ac:dyDescent="0.3">
      <c r="A30" s="1"/>
      <c r="B30" s="1"/>
      <c r="C30" s="120">
        <v>12</v>
      </c>
      <c r="D30" s="308"/>
      <c r="E30" s="109" t="str">
        <f>+IFERROR(INDEX(Hoja1!$E$2:$E$45,MATCH('Análisis Resultados'!C30,Hoja1!$H$2:$H$45,0)),"")</f>
        <v>Presentación oportuna de sus informes de gestión a las autoridades competentes</v>
      </c>
      <c r="F30" s="110" t="str">
        <f>+IFERROR(VLOOKUP(C30,Hoja1!$H$2:$I$45,2,0),"")</f>
        <v>Si</v>
      </c>
      <c r="G30" s="111" t="str">
        <f t="shared" si="0"/>
        <v>Existe requerimiento pero se requiere actividades  dirigidas a su mantenimiento dentro del marco de las lineas de defensa.</v>
      </c>
      <c r="H30" s="17"/>
      <c r="I30" s="123">
        <f t="shared" si="1"/>
        <v>1</v>
      </c>
      <c r="J30" s="321"/>
    </row>
    <row r="31" spans="1:10" ht="45" customHeight="1" x14ac:dyDescent="0.25">
      <c r="A31" s="1"/>
      <c r="B31" s="1"/>
      <c r="C31" s="120">
        <v>13</v>
      </c>
      <c r="D31" s="333" t="s">
        <v>60</v>
      </c>
      <c r="E31" s="103" t="str">
        <f>+IFERROR(INDEX(Hoja1!$E$2:$E$45,MATCH('Análisis Resultados'!C31,Hoja1!$H$2:$H$45,0)),"")</f>
        <v>La identificación de cambios en su entorno que pueden generar consecuencias negativas en su gestión</v>
      </c>
      <c r="F31" s="104" t="str">
        <f>+IFERROR(VLOOKUP(C31,Hoja1!$H$2:$I$45,2,0),"")</f>
        <v>En proceso</v>
      </c>
      <c r="G31" s="105" t="str">
        <f t="shared" si="0"/>
        <v>Se encuentra en proceso, pero requiere continuar con acciones dirigidas a contar con dicho aspecto de control.</v>
      </c>
      <c r="H31" s="17"/>
      <c r="I31" s="121">
        <f t="shared" si="1"/>
        <v>0.5</v>
      </c>
      <c r="J31" s="317">
        <f>+AVERAGE(I31:I40)</f>
        <v>0.8</v>
      </c>
    </row>
    <row r="32" spans="1:10" ht="57" customHeight="1" x14ac:dyDescent="0.25">
      <c r="A32" s="1"/>
      <c r="B32" s="1"/>
      <c r="C32" s="120">
        <v>14</v>
      </c>
      <c r="D32" s="334"/>
      <c r="E32" s="106" t="str">
        <f>+IFERROR(INDEX(Hoja1!$E$2:$E$45,MATCH('Análisis Resultados'!C32,Hoja1!$H$2:$H$45,0)),"")</f>
        <v>Si su capacidad e infraestructura lo permite, identificación de riesgos asociados a las tecnologías de la información y las comunicaciones</v>
      </c>
      <c r="F32" s="107" t="str">
        <f>+IFERROR(VLOOKUP(C32,Hoja1!$H$2:$I$45,2,0),"")</f>
        <v>En proceso</v>
      </c>
      <c r="G32" s="108" t="str">
        <f t="shared" si="0"/>
        <v>Se encuentra en proceso, pero requiere continuar con acciones dirigidas a contar con dicho aspecto de control.</v>
      </c>
      <c r="H32" s="17"/>
      <c r="I32" s="122">
        <f t="shared" si="1"/>
        <v>0.5</v>
      </c>
      <c r="J32" s="318"/>
    </row>
    <row r="33" spans="1:10" ht="54" customHeight="1" x14ac:dyDescent="0.25">
      <c r="A33" s="1"/>
      <c r="B33" s="1"/>
      <c r="C33" s="120">
        <v>15</v>
      </c>
      <c r="D33" s="334"/>
      <c r="E33" s="106" t="str">
        <f>+IFERROR(INDEX(Hoja1!$E$2:$E$45,MATCH('Análisis Resultados'!C33,Hoja1!$H$2:$H$45,0)),"")</f>
        <v>Identifican deficiencias en las maneras de  controlar los riesgos o problemas en sus procesos, programas o proyectos, y propone los ajustes necesarios</v>
      </c>
      <c r="F33" s="107" t="str">
        <f>+IFERROR(VLOOKUP(C33,Hoja1!$H$2:$I$45,2,0),"")</f>
        <v>En proceso</v>
      </c>
      <c r="G33" s="108" t="str">
        <f t="shared" si="0"/>
        <v>Se encuentra en proceso, pero requiere continuar con acciones dirigidas a contar con dicho aspecto de control.</v>
      </c>
      <c r="H33" s="17"/>
      <c r="I33" s="122">
        <f t="shared" si="1"/>
        <v>0.5</v>
      </c>
      <c r="J33" s="318"/>
    </row>
    <row r="34" spans="1:10" ht="33.75" x14ac:dyDescent="0.25">
      <c r="A34" s="1"/>
      <c r="B34" s="1"/>
      <c r="C34" s="120">
        <v>16</v>
      </c>
      <c r="D34" s="334"/>
      <c r="E34" s="106" t="str">
        <f>+IFERROR(INDEX(Hoja1!$E$2:$E$45,MATCH('Análisis Resultados'!C34,Hoja1!$H$2:$H$45,0)),"")</f>
        <v>Solamente hasta que un organismo de control actúa se definen acciones de mejora.</v>
      </c>
      <c r="F34" s="107" t="str">
        <f>+IFERROR(VLOOKUP(C34,Hoja1!$H$2:$I$45,2,0),"")</f>
        <v>En proceso</v>
      </c>
      <c r="G34" s="108" t="str">
        <f t="shared" si="0"/>
        <v>Se encuentra en proceso, pero requiere continuar con acciones dirigidas a contar con dicho aspecto de control.</v>
      </c>
      <c r="H34" s="17"/>
      <c r="I34" s="122">
        <f t="shared" si="1"/>
        <v>0.5</v>
      </c>
      <c r="J34" s="318"/>
    </row>
    <row r="35" spans="1:10" ht="67.5" customHeight="1" x14ac:dyDescent="0.25">
      <c r="A35" s="1"/>
      <c r="B35" s="1"/>
      <c r="C35" s="120">
        <v>17</v>
      </c>
      <c r="D35" s="334"/>
      <c r="E35" s="106" t="str">
        <f>+IFERROR(INDEX(Hoja1!$E$2:$E$45,MATCH('Análisis Resultados'!C35,Hoja1!$H$2:$H$45,0)),"")</f>
        <v>La identificación de aquellos problemas o aspectos que pueden afectar el cumplimiento de los planes de la entidad y en general su gestión institucional (riesgos)</v>
      </c>
      <c r="F35" s="107" t="str">
        <f>+IFERROR(VLOOKUP(C35,Hoja1!$H$2:$I$45,2,0),"")</f>
        <v>Si</v>
      </c>
      <c r="G35" s="108" t="str">
        <f t="shared" si="0"/>
        <v>Existe requerimiento pero se requiere actividades  dirigidas a su mantenimiento dentro del marco de las lineas de defensa.</v>
      </c>
      <c r="H35" s="17"/>
      <c r="I35" s="122">
        <f t="shared" si="1"/>
        <v>1</v>
      </c>
      <c r="J35" s="318"/>
    </row>
    <row r="36" spans="1:10" ht="45" x14ac:dyDescent="0.25">
      <c r="A36" s="1"/>
      <c r="B36" s="1"/>
      <c r="C36" s="120">
        <v>18</v>
      </c>
      <c r="D36" s="334"/>
      <c r="E36" s="106" t="str">
        <f>+IFERROR(INDEX(Hoja1!$E$2:$E$45,MATCH('Análisis Resultados'!C36,Hoja1!$H$2:$H$45,0)),"")</f>
        <v>La identificación  de los riesgos relacionados con posibles actos de corrupción en el ejercicio de sus funciones</v>
      </c>
      <c r="F36" s="107" t="str">
        <f>+IFERROR(VLOOKUP(C36,Hoja1!$H$2:$I$45,2,0),"")</f>
        <v>Si</v>
      </c>
      <c r="G36" s="108" t="str">
        <f t="shared" si="0"/>
        <v>Existe requerimiento pero se requiere actividades  dirigidas a su mantenimiento dentro del marco de las lineas de defensa.</v>
      </c>
      <c r="H36" s="17"/>
      <c r="I36" s="122">
        <f t="shared" si="1"/>
        <v>1</v>
      </c>
      <c r="J36" s="318"/>
    </row>
    <row r="37" spans="1:10" ht="57" customHeight="1" x14ac:dyDescent="0.25">
      <c r="A37" s="1"/>
      <c r="B37" s="1"/>
      <c r="C37" s="120">
        <v>19</v>
      </c>
      <c r="D37" s="334"/>
      <c r="E37" s="106" t="str">
        <f>+IFERROR(INDEX(Hoja1!$E$2:$E$45,MATCH('Análisis Resultados'!C37,Hoja1!$H$2:$H$45,0)),"")</f>
        <v>Hacen seguimiento a los problemas (riesgos)  que pueden afectar el cumplimiento de sus procesos, programas o proyectos a cargo</v>
      </c>
      <c r="F37" s="107" t="str">
        <f>+IFERROR(VLOOKUP(C37,Hoja1!$H$2:$I$45,2,0),"")</f>
        <v>Si</v>
      </c>
      <c r="G37" s="108" t="str">
        <f t="shared" si="0"/>
        <v>Existe requerimiento pero se requiere actividades  dirigidas a su mantenimiento dentro del marco de las lineas de defensa.</v>
      </c>
      <c r="H37" s="17"/>
      <c r="I37" s="122">
        <f t="shared" si="1"/>
        <v>1</v>
      </c>
      <c r="J37" s="318"/>
    </row>
    <row r="38" spans="1:10" ht="45" x14ac:dyDescent="0.25">
      <c r="A38" s="1"/>
      <c r="B38" s="1"/>
      <c r="C38" s="120">
        <v>20</v>
      </c>
      <c r="D38" s="334"/>
      <c r="E38" s="106" t="str">
        <f>+IFERROR(INDEX(Hoja1!$E$2:$E$45,MATCH('Análisis Resultados'!C38,Hoja1!$H$2:$H$45,0)),"")</f>
        <v>Informan de manera periódica a quien corresponda sobre el desempeño de las actividades de gestión de riesgos</v>
      </c>
      <c r="F38" s="107" t="str">
        <f>+IFERROR(VLOOKUP(C38,Hoja1!$H$2:$I$45,2,0),"")</f>
        <v>Si</v>
      </c>
      <c r="G38" s="108" t="str">
        <f t="shared" si="0"/>
        <v>Existe requerimiento pero se requiere actividades  dirigidas a su mantenimiento dentro del marco de las lineas de defensa.</v>
      </c>
      <c r="H38" s="17"/>
      <c r="I38" s="122">
        <f t="shared" si="1"/>
        <v>1</v>
      </c>
      <c r="J38" s="318"/>
    </row>
    <row r="39" spans="1:10" ht="45" x14ac:dyDescent="0.25">
      <c r="A39" s="1"/>
      <c r="B39" s="1"/>
      <c r="C39" s="120">
        <v>21</v>
      </c>
      <c r="D39" s="334"/>
      <c r="E39" s="106" t="str">
        <f>+IFERROR(INDEX(Hoja1!$E$2:$E$45,MATCH('Análisis Resultados'!C39,Hoja1!$H$2:$H$45,0)),"")</f>
        <v>Se definen espacios de reunión para conocerlos y proponer acciones para su solución</v>
      </c>
      <c r="F39" s="107" t="str">
        <f>+IFERROR(VLOOKUP(C39,Hoja1!$H$2:$I$45,2,0),"")</f>
        <v>Si</v>
      </c>
      <c r="G39" s="108" t="str">
        <f t="shared" si="0"/>
        <v>Existe requerimiento pero se requiere actividades  dirigidas a su mantenimiento dentro del marco de las lineas de defensa.</v>
      </c>
      <c r="H39" s="17"/>
      <c r="I39" s="122">
        <f t="shared" si="1"/>
        <v>1</v>
      </c>
      <c r="J39" s="318"/>
    </row>
    <row r="40" spans="1:10" ht="45.75" thickBot="1" x14ac:dyDescent="0.3">
      <c r="A40" s="1"/>
      <c r="B40" s="1"/>
      <c r="C40" s="120">
        <v>22</v>
      </c>
      <c r="D40" s="334"/>
      <c r="E40" s="112" t="str">
        <f>+IFERROR(INDEX(Hoja1!$E$2:$E$45,MATCH('Análisis Resultados'!C40,Hoja1!$H$2:$H$45,0)),"")</f>
        <v>Cada líder del equipo autónomamente toma las acciones para solucionarlos.</v>
      </c>
      <c r="F40" s="113" t="str">
        <f>+IFERROR(VLOOKUP(C40,Hoja1!$H$2:$I$45,2,0),"")</f>
        <v>Si</v>
      </c>
      <c r="G40" s="114" t="str">
        <f t="shared" si="0"/>
        <v>Existe requerimiento pero se requiere actividades  dirigidas a su mantenimiento dentro del marco de las lineas de defensa.</v>
      </c>
      <c r="H40" s="17"/>
      <c r="I40" s="124">
        <f t="shared" si="1"/>
        <v>1</v>
      </c>
      <c r="J40" s="318"/>
    </row>
    <row r="41" spans="1:10" ht="87.75" customHeight="1" x14ac:dyDescent="0.25">
      <c r="A41" s="1"/>
      <c r="B41" s="1"/>
      <c r="C41" s="120">
        <v>23</v>
      </c>
      <c r="D41" s="329" t="s">
        <v>78</v>
      </c>
      <c r="E41" s="103" t="str">
        <f>+IFERROR(INDEX(Hoja1!$E$2:$E$45,MATCH('Análisis Resultados'!C41,Hoja1!$H$2:$H$45,0)),"")</f>
        <v>La definición de acciones o actividades para para dar tratamiento a los problemas identificados (mitigación de riesgos), incluyendo aquellos asociados a posibles actos de corrupción</v>
      </c>
      <c r="F41" s="104" t="str">
        <f>+IFERROR(VLOOKUP(C41,Hoja1!$H$2:$I$45,2,0),"")</f>
        <v>En proceso</v>
      </c>
      <c r="G41" s="105" t="str">
        <f t="shared" si="0"/>
        <v>Se encuentra en proceso, pero requiere continuar con acciones dirigidas a contar con dicho aspecto de control.</v>
      </c>
      <c r="H41" s="17"/>
      <c r="I41" s="121">
        <f t="shared" si="1"/>
        <v>0.5</v>
      </c>
      <c r="J41" s="317">
        <f>+AVERAGE(I41:I45)</f>
        <v>0.7</v>
      </c>
    </row>
    <row r="42" spans="1:10" ht="57" x14ac:dyDescent="0.25">
      <c r="A42" s="1"/>
      <c r="B42" s="1"/>
      <c r="C42" s="120">
        <v>24</v>
      </c>
      <c r="D42" s="330"/>
      <c r="E42" s="106" t="str">
        <f>+IFERROR(INDEX(Hoja1!$E$2:$E$45,MATCH('Análisis Resultados'!C42,Hoja1!$H$2:$H$45,0)),"")</f>
        <v>Mecanismos de verificación de si se están o no mitigando los riesgos, o en su defecto, elaboración de planes de contingencia para subsanar sus consecuencias</v>
      </c>
      <c r="F42" s="107" t="str">
        <f>+IFERROR(VLOOKUP(C42,Hoja1!$H$2:$I$45,2,0),"")</f>
        <v>En proceso</v>
      </c>
      <c r="G42" s="108" t="str">
        <f t="shared" si="0"/>
        <v>Se encuentra en proceso, pero requiere continuar con acciones dirigidas a contar con dicho aspecto de control.</v>
      </c>
      <c r="H42" s="17"/>
      <c r="I42" s="122">
        <f t="shared" si="1"/>
        <v>0.5</v>
      </c>
      <c r="J42" s="318"/>
    </row>
    <row r="43" spans="1:10" ht="85.5" customHeight="1" x14ac:dyDescent="0.25">
      <c r="A43" s="1"/>
      <c r="B43" s="1"/>
      <c r="C43" s="120">
        <v>25</v>
      </c>
      <c r="D43" s="330"/>
      <c r="E43" s="106" t="str">
        <f>+IFERROR(INDEX(Hoja1!$E$2:$E$45,MATCH('Análisis Resultados'!C43,Hoja1!$H$2:$H$45,0)),"")</f>
        <v>Planes, acciones o estrategias que permitan subsanar las consecuencias de la materialización de los riesgos, cuando se presentan</v>
      </c>
      <c r="F43" s="107" t="str">
        <f>+IFERROR(VLOOKUP(C43,Hoja1!$H$2:$I$45,2,0),"")</f>
        <v>En proceso</v>
      </c>
      <c r="G43" s="108" t="str">
        <f t="shared" si="0"/>
        <v>Se encuentra en proceso, pero requiere continuar con acciones dirigidas a contar con dicho aspecto de control.</v>
      </c>
      <c r="H43" s="17"/>
      <c r="I43" s="122">
        <f t="shared" si="1"/>
        <v>0.5</v>
      </c>
      <c r="J43" s="318"/>
    </row>
    <row r="44" spans="1:10" ht="57" customHeight="1" x14ac:dyDescent="0.25">
      <c r="A44" s="1"/>
      <c r="B44" s="1"/>
      <c r="C44" s="120">
        <v>26</v>
      </c>
      <c r="D44" s="330"/>
      <c r="E44" s="106"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07" t="str">
        <f>+IFERROR(VLOOKUP(C44,Hoja1!$H$2:$I$45,2,0),"")</f>
        <v>Si</v>
      </c>
      <c r="G44" s="108" t="str">
        <f t="shared" si="0"/>
        <v>Existe requerimiento pero se requiere actividades  dirigidas a su mantenimiento dentro del marco de las lineas de defensa.</v>
      </c>
      <c r="H44" s="17"/>
      <c r="I44" s="122">
        <f t="shared" si="1"/>
        <v>1</v>
      </c>
      <c r="J44" s="318"/>
    </row>
    <row r="45" spans="1:10" ht="57" customHeight="1" thickBot="1" x14ac:dyDescent="0.3">
      <c r="A45" s="1"/>
      <c r="B45" s="1"/>
      <c r="C45" s="120">
        <v>27</v>
      </c>
      <c r="D45" s="331"/>
      <c r="E45" s="109" t="str">
        <f>+IFERROR(INDEX(Hoja1!$E$2:$E$45,MATCH('Análisis Resultados'!C45,Hoja1!$H$2:$H$45,0)),"")</f>
        <v>Un plan anticorrupción y de servicio al ciudadano con los temas que le aplican, publicado en algún medio para conocimiento de la ciudadanía</v>
      </c>
      <c r="F45" s="110" t="str">
        <f>+IFERROR(VLOOKUP(C45,Hoja1!$H$2:$I$45,2,0),"")</f>
        <v>Si</v>
      </c>
      <c r="G45" s="111" t="str">
        <f t="shared" si="0"/>
        <v>Existe requerimiento pero se requiere actividades  dirigidas a su mantenimiento dentro del marco de las lineas de defensa.</v>
      </c>
      <c r="H45" s="17"/>
      <c r="I45" s="123">
        <f t="shared" si="1"/>
        <v>1</v>
      </c>
      <c r="J45" s="332"/>
    </row>
    <row r="46" spans="1:10" ht="63.75" customHeight="1" x14ac:dyDescent="0.25">
      <c r="A46" s="1"/>
      <c r="B46" s="1"/>
      <c r="C46" s="120">
        <v>28</v>
      </c>
      <c r="D46" s="328" t="s">
        <v>86</v>
      </c>
      <c r="E46" s="115" t="str">
        <f>+IFERROR(INDEX(Hoja1!$E$2:$E$45,MATCH('Análisis Resultados'!C46,Hoja1!$H$2:$H$45,0)),"")</f>
        <v>Responsables de la información institucional</v>
      </c>
      <c r="F46" s="116" t="str">
        <f>+IFERROR(VLOOKUP(C46,Hoja1!$H$2:$I$45,2,0),"")</f>
        <v>En proceso</v>
      </c>
      <c r="G46" s="117" t="str">
        <f t="shared" si="0"/>
        <v>Se encuentra en proceso, pero requiere continuar con acciones dirigidas a contar con dicho aspecto de control.</v>
      </c>
      <c r="H46" s="17"/>
      <c r="I46" s="125">
        <f t="shared" si="1"/>
        <v>0.5</v>
      </c>
      <c r="J46" s="318">
        <f>+AVERAGE(I46:I52)</f>
        <v>0.7142857142857143</v>
      </c>
    </row>
    <row r="47" spans="1:10" ht="92.25" customHeight="1" x14ac:dyDescent="0.25">
      <c r="A47" s="1"/>
      <c r="B47" s="1"/>
      <c r="C47" s="120">
        <v>29</v>
      </c>
      <c r="D47" s="328"/>
      <c r="E47" s="106" t="str">
        <f>+IFERROR(INDEX(Hoja1!$E$2:$E$45,MATCH('Análisis Resultados'!C47,Hoja1!$H$2:$H$45,0)),"")</f>
        <v xml:space="preserve">Lineamientos para dar tratamiento a la información de carácter reservado </v>
      </c>
      <c r="F47" s="107" t="str">
        <f>+IFERROR(VLOOKUP(C47,Hoja1!$H$2:$I$45,2,0),"")</f>
        <v>En proceso</v>
      </c>
      <c r="G47" s="118" t="str">
        <f t="shared" si="0"/>
        <v>Se encuentra en proceso, pero requiere continuar con acciones dirigidas a contar con dicho aspecto de control.</v>
      </c>
      <c r="H47" s="17"/>
      <c r="I47" s="126">
        <f t="shared" si="1"/>
        <v>0.5</v>
      </c>
      <c r="J47" s="318"/>
    </row>
    <row r="48" spans="1:10" ht="66.75" customHeight="1" x14ac:dyDescent="0.25">
      <c r="A48" s="1"/>
      <c r="B48" s="1"/>
      <c r="C48" s="120">
        <v>30</v>
      </c>
      <c r="D48" s="328"/>
      <c r="E48" s="106" t="str">
        <f>+IFERROR(INDEX(Hoja1!$E$2:$E$45,MATCH('Análisis Resultados'!C48,Hoja1!$H$2:$H$45,0)),"")</f>
        <v>Identificación de información que produce en el marco de su gestión (Para los ciudadanos, organismos de control, organismos gubernamentales, entre otros)</v>
      </c>
      <c r="F48" s="107" t="str">
        <f>+IFERROR(VLOOKUP(C48,Hoja1!$H$2:$I$45,2,0),"")</f>
        <v>En proceso</v>
      </c>
      <c r="G48" s="118" t="str">
        <f t="shared" si="0"/>
        <v>Se encuentra en proceso, pero requiere continuar con acciones dirigidas a contar con dicho aspecto de control.</v>
      </c>
      <c r="H48" s="17"/>
      <c r="I48" s="126">
        <f t="shared" si="1"/>
        <v>0.5</v>
      </c>
      <c r="J48" s="318"/>
    </row>
    <row r="49" spans="1:10" ht="60" customHeight="1" x14ac:dyDescent="0.25">
      <c r="A49" s="1"/>
      <c r="B49" s="1"/>
      <c r="C49" s="120">
        <v>31</v>
      </c>
      <c r="D49" s="328"/>
      <c r="E49" s="106" t="str">
        <f>+IFERROR(INDEX(Hoja1!$E$2:$E$45,MATCH('Análisis Resultados'!C49,Hoja1!$H$2:$H$45,0)),"")</f>
        <v>Si su capacidad e infraestructura lo permite, tecnologías de la información y las comunicaciones que soporten estos procesos</v>
      </c>
      <c r="F49" s="107" t="str">
        <f>+IFERROR(VLOOKUP(C49,Hoja1!$H$2:$I$45,2,0),"")</f>
        <v>En proceso</v>
      </c>
      <c r="G49" s="118" t="str">
        <f t="shared" si="0"/>
        <v>Se encuentra en proceso, pero requiere continuar con acciones dirigidas a contar con dicho aspecto de control.</v>
      </c>
      <c r="H49" s="17"/>
      <c r="I49" s="126">
        <f t="shared" si="1"/>
        <v>0.5</v>
      </c>
      <c r="J49" s="318"/>
    </row>
    <row r="50" spans="1:10" ht="57" customHeight="1" x14ac:dyDescent="0.25">
      <c r="A50" s="1"/>
      <c r="B50" s="1"/>
      <c r="C50" s="120">
        <v>32</v>
      </c>
      <c r="D50" s="328"/>
      <c r="E50" s="106" t="str">
        <f>+IFERROR(INDEX(Hoja1!$E$2:$E$45,MATCH('Análisis Resultados'!C50,Hoja1!$H$2:$H$45,0)),"")</f>
        <v>Canales de comunicación con los ciudadanos</v>
      </c>
      <c r="F50" s="107" t="str">
        <f>+IFERROR(VLOOKUP(C50,Hoja1!$H$2:$I$45,2,0),"")</f>
        <v>Si</v>
      </c>
      <c r="G50" s="118" t="str">
        <f t="shared" si="0"/>
        <v>Existe requerimiento pero se requiere actividades  dirigidas a su mantenimiento dentro del marco de las lineas de defensa.</v>
      </c>
      <c r="H50" s="17"/>
      <c r="I50" s="126">
        <f t="shared" si="1"/>
        <v>1</v>
      </c>
      <c r="J50" s="318"/>
    </row>
    <row r="51" spans="1:10" ht="57" customHeight="1" x14ac:dyDescent="0.25">
      <c r="A51" s="1"/>
      <c r="B51" s="1"/>
      <c r="C51" s="120">
        <v>33</v>
      </c>
      <c r="D51" s="328"/>
      <c r="E51" s="106" t="str">
        <f>+IFERROR(INDEX(Hoja1!$E$2:$E$45,MATCH('Análisis Resultados'!C51,Hoja1!$H$2:$H$45,0)),"")</f>
        <v>Canales de comunicación o mecanismos de reporte de información a otros organismos gubernamentales o de control</v>
      </c>
      <c r="F51" s="107" t="str">
        <f>+IFERROR(VLOOKUP(C51,Hoja1!$H$2:$I$45,2,0),"")</f>
        <v>Si</v>
      </c>
      <c r="G51" s="118" t="str">
        <f t="shared" si="0"/>
        <v>Existe requerimiento pero se requiere actividades  dirigidas a su mantenimiento dentro del marco de las lineas de defensa.</v>
      </c>
      <c r="H51" s="17"/>
      <c r="I51" s="126">
        <f t="shared" si="1"/>
        <v>1</v>
      </c>
      <c r="J51" s="318"/>
    </row>
    <row r="52" spans="1:10" ht="45.75" thickBot="1" x14ac:dyDescent="0.3">
      <c r="A52" s="1"/>
      <c r="B52" s="1"/>
      <c r="C52" s="120">
        <v>34</v>
      </c>
      <c r="D52" s="328"/>
      <c r="E52" s="112" t="str">
        <f>+IFERROR(INDEX(Hoja1!$E$2:$E$45,MATCH('Análisis Resultados'!C52,Hoja1!$H$2:$H$45,0)),"")</f>
        <v>Identificación de información necesaria para la operación de la entidad (normograma, presupuesto, talento humano, infraestructura física y tecnológica)</v>
      </c>
      <c r="F52" s="113" t="str">
        <f>+IFERROR(VLOOKUP(C52,Hoja1!$H$2:$I$45,2,0),"")</f>
        <v>Si</v>
      </c>
      <c r="G52" s="119" t="str">
        <f t="shared" si="0"/>
        <v>Existe requerimiento pero se requiere actividades  dirigidas a su mantenimiento dentro del marco de las lineas de defensa.</v>
      </c>
      <c r="H52" s="17"/>
      <c r="I52" s="127">
        <f t="shared" si="1"/>
        <v>1</v>
      </c>
      <c r="J52" s="318"/>
    </row>
    <row r="53" spans="1:10" ht="41.25" customHeight="1" x14ac:dyDescent="0.25">
      <c r="A53" s="1"/>
      <c r="B53" s="1"/>
      <c r="C53" s="120">
        <v>35</v>
      </c>
      <c r="D53" s="322" t="s">
        <v>96</v>
      </c>
      <c r="E53" s="103" t="str">
        <f>+IFERROR(INDEX(Hoja1!$E$2:$E$45,MATCH('Análisis Resultados'!C53,Hoja1!$H$2:$H$45,0)),"")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3" s="104" t="str">
        <f>+IFERROR(VLOOKUP(C53,Hoja1!$H$2:$I$45,2,0),"")</f>
        <v>En proceso</v>
      </c>
      <c r="G53" s="105" t="str">
        <f t="shared" si="0"/>
        <v>Se encuentra en proceso, pero requiere continuar con acciones dirigidas a contar con dicho aspecto de control.</v>
      </c>
      <c r="H53" s="17"/>
      <c r="I53" s="121">
        <f t="shared" si="1"/>
        <v>0.5</v>
      </c>
      <c r="J53" s="325">
        <f>+AVERAGE(I53:I62)</f>
        <v>0.7</v>
      </c>
    </row>
    <row r="54" spans="1:10" ht="58.5" customHeight="1" x14ac:dyDescent="0.25">
      <c r="A54" s="1"/>
      <c r="B54" s="1"/>
      <c r="C54" s="120">
        <v>36</v>
      </c>
      <c r="D54" s="323"/>
      <c r="E54" s="106" t="str">
        <f>+IFERROR(INDEX(Hoja1!$E$2:$E$45,MATCH('Análisis Resultados'!C54,Hoja1!$H$2:$H$45,0)),"")</f>
        <v>Evitar que los problemas (riesgos) obstaculicen el cumplimiento de los objetivos.</v>
      </c>
      <c r="F54" s="107" t="str">
        <f>+IFERROR(VLOOKUP(C54,Hoja1!$H$2:$I$45,2,0),"")</f>
        <v>En proceso</v>
      </c>
      <c r="G54" s="108" t="str">
        <f t="shared" si="0"/>
        <v>Se encuentra en proceso, pero requiere continuar con acciones dirigidas a contar con dicho aspecto de control.</v>
      </c>
      <c r="H54" s="17"/>
      <c r="I54" s="122">
        <f t="shared" si="1"/>
        <v>0.5</v>
      </c>
      <c r="J54" s="326"/>
    </row>
    <row r="55" spans="1:10" s="1" customFormat="1" ht="84.75" customHeight="1" x14ac:dyDescent="0.25">
      <c r="C55" s="120">
        <v>37</v>
      </c>
      <c r="D55" s="323"/>
      <c r="E55" s="106" t="str">
        <f>+IFERROR(INDEX(Hoja1!$E$2:$E$45,MATCH('Análisis Resultados'!C55,Hoja1!$H$2:$H$45,0)),"")</f>
        <v>Controlar los puntos críticos en los procesos.</v>
      </c>
      <c r="F55" s="107" t="str">
        <f>+IFERROR(VLOOKUP(C55,Hoja1!$H$2:$I$45,2,0),"")</f>
        <v>En proceso</v>
      </c>
      <c r="G55" s="108" t="str">
        <f t="shared" si="0"/>
        <v>Se encuentra en proceso, pero requiere continuar con acciones dirigidas a contar con dicho aspecto de control.</v>
      </c>
      <c r="H55" s="6"/>
      <c r="I55" s="122">
        <f t="shared" si="1"/>
        <v>0.5</v>
      </c>
      <c r="J55" s="326"/>
    </row>
    <row r="56" spans="1:10" s="1" customFormat="1" ht="78.75" customHeight="1" x14ac:dyDescent="0.25">
      <c r="C56" s="120">
        <v>38</v>
      </c>
      <c r="D56" s="323"/>
      <c r="E56" s="106" t="str">
        <f>+IFERROR(INDEX(Hoja1!$E$2:$E$45,MATCH('Análisis Resultados'!C56,Hoja1!$H$2:$H$45,0)),"")</f>
        <v>Diseñar acciones adecuadas para controlar los problemas que afectan el cumplimiento de las metas y objetivos institucionales (riesgos).</v>
      </c>
      <c r="F56" s="107" t="str">
        <f>+IFERROR(VLOOKUP(C56,Hoja1!$H$2:$I$45,2,0),"")</f>
        <v>En proceso</v>
      </c>
      <c r="G56" s="108" t="str">
        <f t="shared" si="0"/>
        <v>Se encuentra en proceso, pero requiere continuar con acciones dirigidas a contar con dicho aspecto de control.</v>
      </c>
      <c r="H56" s="6"/>
      <c r="I56" s="122">
        <f t="shared" si="1"/>
        <v>0.5</v>
      </c>
      <c r="J56" s="326"/>
    </row>
    <row r="57" spans="1:10" s="1" customFormat="1" ht="54.75" customHeight="1" x14ac:dyDescent="0.25">
      <c r="C57" s="120">
        <v>39</v>
      </c>
      <c r="D57" s="323"/>
      <c r="E57" s="106" t="str">
        <f>+IFERROR(INDEX(Hoja1!$E$2:$E$45,MATCH('Análisis Resultados'!C57,Hoja1!$H$2:$H$45,0)),"")</f>
        <v>Ejecutar las acciones de acuerdo a como se diseñaron previamente.</v>
      </c>
      <c r="F57" s="107" t="str">
        <f>+IFERROR(VLOOKUP(C57,Hoja1!$H$2:$I$45,2,0),"")</f>
        <v>En proceso</v>
      </c>
      <c r="G57" s="108" t="str">
        <f t="shared" si="0"/>
        <v>Se encuentra en proceso, pero requiere continuar con acciones dirigidas a contar con dicho aspecto de control.</v>
      </c>
      <c r="H57" s="6"/>
      <c r="I57" s="122">
        <f t="shared" si="1"/>
        <v>0.5</v>
      </c>
      <c r="J57" s="326"/>
    </row>
    <row r="58" spans="1:10" s="1" customFormat="1" ht="68.25" customHeight="1" x14ac:dyDescent="0.25">
      <c r="C58" s="120">
        <v>40</v>
      </c>
      <c r="D58" s="323"/>
      <c r="E58" s="106" t="str">
        <f>+IFERROR(INDEX(Hoja1!$E$2:$E$45,MATCH('Análisis Resultados'!C58,Hoja1!$H$2:$H$45,0)),"")</f>
        <v>No se gestionan los problemas que afectan el cumplimiento de las funciones y objetivos institucionales(riesgos).</v>
      </c>
      <c r="F58" s="107" t="str">
        <f>+IFERROR(VLOOKUP(C58,Hoja1!$H$2:$I$45,2,0),"")</f>
        <v>En proceso</v>
      </c>
      <c r="G58" s="108" t="str">
        <f t="shared" si="0"/>
        <v>Se encuentra en proceso, pero requiere continuar con acciones dirigidas a contar con dicho aspecto de control.</v>
      </c>
      <c r="H58" s="6"/>
      <c r="I58" s="122">
        <f t="shared" si="1"/>
        <v>0.5</v>
      </c>
      <c r="J58" s="326"/>
    </row>
    <row r="59" spans="1:10" s="1" customFormat="1" ht="45" customHeight="1" x14ac:dyDescent="0.25">
      <c r="C59" s="120">
        <v>41</v>
      </c>
      <c r="D59" s="323"/>
      <c r="E59" s="106" t="str">
        <f>+IFERROR(INDEX(Hoja1!$E$2:$E$45,MATCH('Análisis Resultados'!C59,Hoja1!$H$2:$H$45,0)),"")</f>
        <v>Mecanismos de evaluación de la gestión (cronogramas, indicadores, listas de chequeo u otros)</v>
      </c>
      <c r="F59" s="107" t="str">
        <f>+IFERROR(VLOOKUP(C59,Hoja1!$H$2:$I$45,2,0),"")</f>
        <v>Si</v>
      </c>
      <c r="G59" s="108" t="str">
        <f t="shared" si="0"/>
        <v>Existe requerimiento pero se requiere actividades  dirigidas a su mantenimiento dentro del marco de las lineas de defensa.</v>
      </c>
      <c r="H59" s="6"/>
      <c r="I59" s="122">
        <f t="shared" si="1"/>
        <v>1</v>
      </c>
      <c r="J59" s="326"/>
    </row>
    <row r="60" spans="1:10" s="1" customFormat="1" ht="51.75" customHeight="1" x14ac:dyDescent="0.25">
      <c r="C60" s="120">
        <v>42</v>
      </c>
      <c r="D60" s="323"/>
      <c r="E60" s="106" t="str">
        <f>+IFERROR(INDEX(Hoja1!$E$2:$E$45,MATCH('Análisis Resultados'!C60,Hoja1!$H$2:$H$45,0)),"")</f>
        <v>Medidas correctivas en caso de detectarse deficiencias en los ejercicios de evaluación, seguimiento o auditoría</v>
      </c>
      <c r="F60" s="107" t="str">
        <f>+IFERROR(VLOOKUP(C60,Hoja1!$H$2:$I$45,2,0),"")</f>
        <v>Si</v>
      </c>
      <c r="G60" s="108" t="str">
        <f t="shared" si="0"/>
        <v>Existe requerimiento pero se requiere actividades  dirigidas a su mantenimiento dentro del marco de las lineas de defensa.</v>
      </c>
      <c r="H60" s="6"/>
      <c r="I60" s="122">
        <f t="shared" si="1"/>
        <v>1</v>
      </c>
      <c r="J60" s="326"/>
    </row>
    <row r="61" spans="1:10" s="1" customFormat="1" ht="84" customHeight="1" x14ac:dyDescent="0.25">
      <c r="C61" s="120">
        <v>43</v>
      </c>
      <c r="D61" s="323"/>
      <c r="E61" s="106" t="str">
        <f>+IFERROR(INDEX(Hoja1!$E$2:$E$45,MATCH('Análisis Resultados'!C61,Hoja1!$H$2:$H$45,0)),"")</f>
        <v>Seguimiento a los planes de mejoramiento suscritos con instancias de control internas o externas</v>
      </c>
      <c r="F61" s="107" t="str">
        <f>+IFERROR(VLOOKUP(C61,Hoja1!$H$2:$I$45,2,0),"")</f>
        <v>Si</v>
      </c>
      <c r="G61" s="108" t="str">
        <f t="shared" si="0"/>
        <v>Existe requerimiento pero se requiere actividades  dirigidas a su mantenimiento dentro del marco de las lineas de defensa.</v>
      </c>
      <c r="H61" s="6"/>
      <c r="I61" s="122">
        <f t="shared" si="1"/>
        <v>1</v>
      </c>
      <c r="J61" s="326"/>
    </row>
    <row r="62" spans="1:10" s="1" customFormat="1" ht="60" customHeight="1" thickBot="1" x14ac:dyDescent="0.3">
      <c r="C62" s="120">
        <v>44</v>
      </c>
      <c r="D62" s="324"/>
      <c r="E62" s="109" t="str">
        <f>+IFERROR(INDEX(Hoja1!$E$2:$E$45,MATCH('Análisis Resultados'!C62,Hoja1!$H$2:$H$45,0)),"")</f>
        <v>La entidad participa en el  Comité Municipal de Auditoría?</v>
      </c>
      <c r="F62" s="110" t="str">
        <f>+IFERROR(VLOOKUP(C62,Hoja1!$H$2:$I$45,2,0),"")</f>
        <v>Si</v>
      </c>
      <c r="G62" s="111" t="str">
        <f t="shared" si="0"/>
        <v>Existe requerimiento pero se requiere actividades  dirigidas a su mantenimiento dentro del marco de las lineas de defensa.</v>
      </c>
      <c r="H62" s="6"/>
      <c r="I62" s="123">
        <f t="shared" si="1"/>
        <v>1</v>
      </c>
      <c r="J62" s="327"/>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C1" zoomScale="60" zoomScaleNormal="60" workbookViewId="0">
      <selection activeCell="F22" sqref="F22:M22"/>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48" t="s">
        <v>123</v>
      </c>
      <c r="F4" s="350" t="s">
        <v>198</v>
      </c>
      <c r="G4" s="350"/>
      <c r="H4" s="350"/>
      <c r="I4" s="350"/>
      <c r="J4" s="350"/>
      <c r="K4" s="350"/>
      <c r="L4" s="350"/>
      <c r="M4" s="350"/>
      <c r="N4" s="7"/>
      <c r="O4" s="7"/>
      <c r="P4" s="8"/>
      <c r="Q4" s="1"/>
    </row>
    <row r="5" spans="1:17" ht="45.75" customHeight="1" x14ac:dyDescent="0.3">
      <c r="A5" s="1"/>
      <c r="B5" s="5"/>
      <c r="C5" s="6"/>
      <c r="D5" s="6"/>
      <c r="E5" s="349"/>
      <c r="F5" s="350"/>
      <c r="G5" s="350"/>
      <c r="H5" s="350"/>
      <c r="I5" s="350"/>
      <c r="J5" s="350"/>
      <c r="K5" s="350"/>
      <c r="L5" s="350"/>
      <c r="M5" s="350"/>
      <c r="N5" s="7"/>
      <c r="O5" s="7"/>
      <c r="P5" s="8"/>
      <c r="Q5" s="1"/>
    </row>
    <row r="6" spans="1:17" ht="66.75" customHeight="1" x14ac:dyDescent="0.3">
      <c r="A6" s="1"/>
      <c r="B6" s="5"/>
      <c r="C6" s="6"/>
      <c r="D6" s="6"/>
      <c r="E6" s="82" t="s">
        <v>124</v>
      </c>
      <c r="F6" s="351" t="s">
        <v>207</v>
      </c>
      <c r="G6" s="352"/>
      <c r="H6" s="352"/>
      <c r="I6" s="352"/>
      <c r="J6" s="352"/>
      <c r="K6" s="352"/>
      <c r="L6" s="352"/>
      <c r="M6" s="353"/>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54" t="s">
        <v>125</v>
      </c>
      <c r="J8" s="355"/>
      <c r="K8" s="356"/>
      <c r="L8" s="6"/>
      <c r="M8" s="128">
        <f>+AVERAGE(G26,G28,G30,G32,G34)</f>
        <v>0.71619047619047627</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57" t="s">
        <v>126</v>
      </c>
      <c r="D18" s="358"/>
      <c r="E18" s="358"/>
      <c r="F18" s="358"/>
      <c r="G18" s="358"/>
      <c r="H18" s="358"/>
      <c r="I18" s="358"/>
      <c r="J18" s="358"/>
      <c r="K18" s="358"/>
      <c r="L18" s="358"/>
      <c r="M18" s="359"/>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232.5" customHeight="1" x14ac:dyDescent="0.25">
      <c r="A20" s="1"/>
      <c r="B20" s="5"/>
      <c r="C20" s="360" t="s">
        <v>127</v>
      </c>
      <c r="D20" s="361"/>
      <c r="E20" s="191" t="s">
        <v>75</v>
      </c>
      <c r="F20" s="362" t="s">
        <v>240</v>
      </c>
      <c r="G20" s="362"/>
      <c r="H20" s="362"/>
      <c r="I20" s="362"/>
      <c r="J20" s="362"/>
      <c r="K20" s="362"/>
      <c r="L20" s="362"/>
      <c r="M20" s="363"/>
      <c r="N20" s="15"/>
      <c r="O20" s="15"/>
      <c r="P20" s="8"/>
      <c r="Q20" s="1"/>
    </row>
    <row r="21" spans="1:17" ht="126.75" customHeight="1" x14ac:dyDescent="0.25">
      <c r="A21" s="1"/>
      <c r="B21" s="5"/>
      <c r="C21" s="344" t="s">
        <v>128</v>
      </c>
      <c r="D21" s="345"/>
      <c r="E21" s="192" t="s">
        <v>38</v>
      </c>
      <c r="F21" s="364" t="s">
        <v>243</v>
      </c>
      <c r="G21" s="364"/>
      <c r="H21" s="364"/>
      <c r="I21" s="364"/>
      <c r="J21" s="364"/>
      <c r="K21" s="364"/>
      <c r="L21" s="364"/>
      <c r="M21" s="365"/>
      <c r="N21" s="15"/>
      <c r="O21" s="15"/>
      <c r="P21" s="8"/>
      <c r="Q21" s="1"/>
    </row>
    <row r="22" spans="1:17" ht="151.5" customHeight="1" thickBot="1" x14ac:dyDescent="0.3">
      <c r="A22" s="1"/>
      <c r="B22" s="5"/>
      <c r="C22" s="346" t="s">
        <v>129</v>
      </c>
      <c r="D22" s="347"/>
      <c r="E22" s="193" t="s">
        <v>38</v>
      </c>
      <c r="F22" s="366" t="s">
        <v>242</v>
      </c>
      <c r="G22" s="366"/>
      <c r="H22" s="366"/>
      <c r="I22" s="366"/>
      <c r="J22" s="366"/>
      <c r="K22" s="366"/>
      <c r="L22" s="366"/>
      <c r="M22" s="367"/>
      <c r="N22" s="15"/>
      <c r="O22" s="15"/>
      <c r="P22" s="8"/>
      <c r="Q22" s="1"/>
    </row>
    <row r="23" spans="1:17" ht="18" x14ac:dyDescent="0.25">
      <c r="A23" s="1"/>
      <c r="B23" s="5"/>
      <c r="C23" s="194"/>
      <c r="D23" s="194"/>
      <c r="E23" s="194"/>
      <c r="F23" s="194"/>
      <c r="G23" s="177"/>
      <c r="H23" s="194"/>
      <c r="I23" s="194"/>
      <c r="J23" s="194"/>
      <c r="K23" s="194"/>
      <c r="L23" s="194"/>
      <c r="M23" s="194"/>
      <c r="N23" s="6"/>
      <c r="O23" s="6"/>
      <c r="P23" s="8"/>
      <c r="Q23" s="1"/>
    </row>
    <row r="24" spans="1:17" ht="36" x14ac:dyDescent="0.25">
      <c r="A24" s="1"/>
      <c r="B24" s="5"/>
      <c r="C24" s="178" t="s">
        <v>130</v>
      </c>
      <c r="D24" s="179"/>
      <c r="E24" s="178" t="s">
        <v>131</v>
      </c>
      <c r="F24" s="179"/>
      <c r="G24" s="178" t="s">
        <v>132</v>
      </c>
      <c r="H24" s="179"/>
      <c r="I24" s="338" t="s">
        <v>241</v>
      </c>
      <c r="J24" s="338"/>
      <c r="K24" s="338"/>
      <c r="L24" s="338"/>
      <c r="M24" s="338"/>
      <c r="N24" s="27"/>
      <c r="O24" s="27"/>
      <c r="P24" s="8"/>
      <c r="Q24" s="16"/>
    </row>
    <row r="25" spans="1:17" ht="13.5" customHeight="1" thickBot="1" x14ac:dyDescent="0.3">
      <c r="A25" s="1"/>
      <c r="B25" s="5"/>
      <c r="C25" s="180"/>
      <c r="D25" s="195"/>
      <c r="E25" s="195"/>
      <c r="F25" s="195"/>
      <c r="G25" s="195"/>
      <c r="H25" s="195"/>
      <c r="I25" s="342"/>
      <c r="J25" s="342"/>
      <c r="K25" s="342"/>
      <c r="L25" s="342"/>
      <c r="M25" s="342"/>
      <c r="N25" s="28"/>
      <c r="O25" s="28"/>
      <c r="P25" s="8"/>
      <c r="Q25" s="1"/>
    </row>
    <row r="26" spans="1:17" ht="155.25" customHeight="1" thickBot="1" x14ac:dyDescent="0.3">
      <c r="A26" s="1"/>
      <c r="B26" s="5"/>
      <c r="C26" s="181" t="s">
        <v>32</v>
      </c>
      <c r="D26" s="182"/>
      <c r="E26" s="183" t="str">
        <f>+IF(Hoja1!K2&gt;=0.5,"Si","No")</f>
        <v>Si</v>
      </c>
      <c r="F26" s="184"/>
      <c r="G26" s="185">
        <f>+Hoja1!K2</f>
        <v>0.66666666666666663</v>
      </c>
      <c r="H26" s="184"/>
      <c r="I26" s="339" t="s">
        <v>235</v>
      </c>
      <c r="J26" s="340"/>
      <c r="K26" s="340"/>
      <c r="L26" s="340"/>
      <c r="M26" s="341"/>
      <c r="N26" s="29"/>
      <c r="O26" s="30"/>
      <c r="P26" s="18"/>
      <c r="Q26" s="19"/>
    </row>
    <row r="27" spans="1:17" ht="18.75" thickBot="1" x14ac:dyDescent="0.3">
      <c r="A27" s="1"/>
      <c r="B27" s="5"/>
      <c r="C27" s="180"/>
      <c r="D27" s="196"/>
      <c r="E27" s="197"/>
      <c r="F27" s="195"/>
      <c r="G27" s="198"/>
      <c r="H27" s="195"/>
      <c r="I27" s="343"/>
      <c r="J27" s="343"/>
      <c r="K27" s="343"/>
      <c r="L27" s="343"/>
      <c r="M27" s="343"/>
      <c r="N27" s="31"/>
      <c r="O27" s="31"/>
      <c r="P27" s="8"/>
      <c r="Q27" s="1"/>
    </row>
    <row r="28" spans="1:17" ht="111.75" customHeight="1" thickBot="1" x14ac:dyDescent="0.3">
      <c r="A28" s="1"/>
      <c r="B28" s="5"/>
      <c r="C28" s="186" t="s">
        <v>133</v>
      </c>
      <c r="D28" s="182"/>
      <c r="E28" s="183" t="str">
        <f>+IF(Hoja1!K14&gt;=0.5,"Si","No")</f>
        <v>Si</v>
      </c>
      <c r="F28" s="195"/>
      <c r="G28" s="185">
        <f>+Hoja1!K14</f>
        <v>0.8</v>
      </c>
      <c r="H28" s="195"/>
      <c r="I28" s="335" t="s">
        <v>237</v>
      </c>
      <c r="J28" s="336"/>
      <c r="K28" s="336"/>
      <c r="L28" s="336"/>
      <c r="M28" s="337"/>
      <c r="N28" s="29"/>
      <c r="O28" s="29"/>
      <c r="P28" s="8"/>
      <c r="Q28" s="1"/>
    </row>
    <row r="29" spans="1:17" ht="18.75" thickBot="1" x14ac:dyDescent="0.3">
      <c r="A29" s="1"/>
      <c r="B29" s="5"/>
      <c r="C29" s="180"/>
      <c r="D29" s="196"/>
      <c r="E29" s="197"/>
      <c r="F29" s="195"/>
      <c r="G29" s="198"/>
      <c r="H29" s="195"/>
      <c r="I29" s="343"/>
      <c r="J29" s="343"/>
      <c r="K29" s="343"/>
      <c r="L29" s="343"/>
      <c r="M29" s="343"/>
      <c r="N29" s="31"/>
      <c r="O29" s="31"/>
      <c r="P29" s="8"/>
      <c r="Q29" s="1"/>
    </row>
    <row r="30" spans="1:17" ht="123" customHeight="1" thickBot="1" x14ac:dyDescent="0.3">
      <c r="A30" s="1"/>
      <c r="B30" s="5"/>
      <c r="C30" s="187" t="s">
        <v>134</v>
      </c>
      <c r="D30" s="182"/>
      <c r="E30" s="183" t="str">
        <f>+IF(Hoja1!K24&gt;=0.5,"Si","No")</f>
        <v>Si</v>
      </c>
      <c r="F30" s="195"/>
      <c r="G30" s="185">
        <f>+Hoja1!K24</f>
        <v>0.7</v>
      </c>
      <c r="H30" s="195"/>
      <c r="I30" s="335" t="s">
        <v>239</v>
      </c>
      <c r="J30" s="336"/>
      <c r="K30" s="336"/>
      <c r="L30" s="336"/>
      <c r="M30" s="337"/>
      <c r="N30" s="29"/>
      <c r="O30" s="29"/>
      <c r="P30" s="8"/>
      <c r="Q30" s="1"/>
    </row>
    <row r="31" spans="1:17" ht="18.75" thickBot="1" x14ac:dyDescent="0.3">
      <c r="A31" s="1"/>
      <c r="B31" s="5"/>
      <c r="C31" s="180"/>
      <c r="D31" s="196"/>
      <c r="E31" s="197"/>
      <c r="F31" s="195"/>
      <c r="G31" s="198"/>
      <c r="H31" s="195"/>
      <c r="I31" s="343"/>
      <c r="J31" s="343"/>
      <c r="K31" s="343"/>
      <c r="L31" s="343"/>
      <c r="M31" s="343"/>
      <c r="N31" s="31"/>
      <c r="O31" s="31"/>
      <c r="P31" s="8"/>
      <c r="Q31" s="1"/>
    </row>
    <row r="32" spans="1:17" ht="171" customHeight="1" thickBot="1" x14ac:dyDescent="0.3">
      <c r="A32" s="1"/>
      <c r="B32" s="5"/>
      <c r="C32" s="188" t="s">
        <v>86</v>
      </c>
      <c r="D32" s="182"/>
      <c r="E32" s="183" t="str">
        <f>+IF(Hoja1!K29&gt;=0.5,"Si","No")</f>
        <v>Si</v>
      </c>
      <c r="F32" s="195"/>
      <c r="G32" s="185">
        <f>+Hoja1!K29</f>
        <v>0.7142857142857143</v>
      </c>
      <c r="H32" s="195"/>
      <c r="I32" s="335" t="s">
        <v>238</v>
      </c>
      <c r="J32" s="336"/>
      <c r="K32" s="336"/>
      <c r="L32" s="336"/>
      <c r="M32" s="337"/>
      <c r="N32" s="29"/>
      <c r="O32" s="29"/>
      <c r="P32" s="8"/>
      <c r="Q32" s="1"/>
    </row>
    <row r="33" spans="1:17" ht="18.75" thickBot="1" x14ac:dyDescent="0.3">
      <c r="A33" s="1"/>
      <c r="B33" s="5"/>
      <c r="C33" s="180"/>
      <c r="D33" s="196"/>
      <c r="E33" s="197"/>
      <c r="F33" s="195"/>
      <c r="G33" s="198"/>
      <c r="H33" s="195"/>
      <c r="I33" s="343"/>
      <c r="J33" s="343"/>
      <c r="K33" s="343"/>
      <c r="L33" s="343"/>
      <c r="M33" s="343"/>
      <c r="N33" s="31"/>
      <c r="O33" s="31"/>
      <c r="P33" s="8"/>
      <c r="Q33" s="1"/>
    </row>
    <row r="34" spans="1:17" ht="164.25" customHeight="1" thickBot="1" x14ac:dyDescent="0.3">
      <c r="A34" s="1"/>
      <c r="B34" s="5"/>
      <c r="C34" s="189" t="s">
        <v>135</v>
      </c>
      <c r="D34" s="182"/>
      <c r="E34" s="190" t="str">
        <f>+IF(Hoja1!K36&gt;=0.5,"Si","No")</f>
        <v>Si</v>
      </c>
      <c r="F34" s="195"/>
      <c r="G34" s="185">
        <f>+Hoja1!K36</f>
        <v>0.7</v>
      </c>
      <c r="H34" s="195"/>
      <c r="I34" s="335" t="s">
        <v>236</v>
      </c>
      <c r="J34" s="336"/>
      <c r="K34" s="336"/>
      <c r="L34" s="336"/>
      <c r="M34" s="337"/>
      <c r="N34" s="29"/>
      <c r="O34" s="29"/>
      <c r="P34" s="8"/>
      <c r="Q34" s="1"/>
    </row>
    <row r="35" spans="1:17" ht="15.75" x14ac:dyDescent="0.25">
      <c r="A35" s="1"/>
      <c r="B35" s="5"/>
      <c r="C35" s="20"/>
      <c r="D35" s="20"/>
      <c r="E35" s="15"/>
      <c r="F35" s="6"/>
      <c r="G35" s="6"/>
      <c r="H35" s="6"/>
      <c r="I35" s="6"/>
      <c r="J35" s="6"/>
      <c r="K35" s="6"/>
      <c r="L35" s="6"/>
      <c r="M35" s="21"/>
      <c r="N35" s="21"/>
      <c r="O35" s="21"/>
      <c r="P35" s="8"/>
      <c r="Q35" s="1"/>
    </row>
    <row r="36" spans="1:17" ht="15.75" x14ac:dyDescent="0.25">
      <c r="A36" s="1"/>
      <c r="B36" s="5"/>
      <c r="C36" s="22"/>
      <c r="D36" s="20"/>
      <c r="E36" s="15"/>
      <c r="F36" s="6"/>
      <c r="G36" s="6"/>
      <c r="H36" s="6"/>
      <c r="I36" s="6"/>
      <c r="J36" s="6"/>
      <c r="K36" s="6"/>
      <c r="L36" s="6"/>
      <c r="M36" s="21"/>
      <c r="N36" s="21"/>
      <c r="O36" s="21"/>
      <c r="P36" s="8"/>
      <c r="Q36" s="1"/>
    </row>
    <row r="37" spans="1:17" x14ac:dyDescent="0.25">
      <c r="A37" s="1"/>
      <c r="B37" s="5"/>
      <c r="C37" s="23"/>
      <c r="D37" s="6"/>
      <c r="E37" s="6"/>
      <c r="F37" s="6"/>
      <c r="G37" s="6"/>
      <c r="H37" s="6"/>
      <c r="I37" s="6"/>
      <c r="J37" s="6"/>
      <c r="K37" s="6"/>
      <c r="L37" s="6"/>
      <c r="M37" s="6"/>
      <c r="N37" s="6"/>
      <c r="O37" s="6"/>
      <c r="P37" s="8"/>
      <c r="Q37" s="1"/>
    </row>
    <row r="38" spans="1:17" ht="15.75" thickBot="1" x14ac:dyDescent="0.3">
      <c r="A38" s="1"/>
      <c r="B38" s="24"/>
      <c r="C38" s="25"/>
      <c r="D38" s="25"/>
      <c r="E38" s="25"/>
      <c r="F38" s="25"/>
      <c r="G38" s="25"/>
      <c r="H38" s="25"/>
      <c r="I38" s="25"/>
      <c r="J38" s="25"/>
      <c r="K38" s="25"/>
      <c r="L38" s="25"/>
      <c r="M38" s="25"/>
      <c r="N38" s="25"/>
      <c r="O38" s="25"/>
      <c r="P38" s="26"/>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29" t="s">
        <v>25</v>
      </c>
      <c r="B1" s="129" t="s">
        <v>6</v>
      </c>
      <c r="C1" s="130" t="s">
        <v>8</v>
      </c>
      <c r="D1" s="131" t="s">
        <v>26</v>
      </c>
      <c r="E1" s="131" t="s">
        <v>27</v>
      </c>
      <c r="F1" s="131" t="s">
        <v>136</v>
      </c>
      <c r="G1" s="132" t="s">
        <v>137</v>
      </c>
      <c r="H1" s="132" t="s">
        <v>138</v>
      </c>
      <c r="I1" s="132" t="s">
        <v>118</v>
      </c>
      <c r="J1" s="132" t="s">
        <v>139</v>
      </c>
      <c r="K1" s="132" t="s">
        <v>140</v>
      </c>
    </row>
    <row r="2" spans="1:11" x14ac:dyDescent="0.25">
      <c r="A2" s="133" t="s">
        <v>141</v>
      </c>
      <c r="B2" s="133" t="str">
        <f>+VLOOKUP(A2,'Estado SCI'!$A$16:$C$59,3,0)</f>
        <v>AMBIENTE DE CONTROL</v>
      </c>
      <c r="C2" s="133" t="s">
        <v>33</v>
      </c>
      <c r="D2" s="133" t="s">
        <v>34</v>
      </c>
      <c r="E2" s="133" t="s">
        <v>35</v>
      </c>
      <c r="F2" s="133" t="str">
        <f>+VLOOKUP(A2,'Estado SCI'!$A$16:$I$59,9,0)</f>
        <v>Oportunidad de mejora</v>
      </c>
      <c r="G2" s="133">
        <f>+VLOOKUP(A2,'Estado SCI'!$A$16:$L$59,12,0)</f>
        <v>10.122999999999999</v>
      </c>
      <c r="H2" s="133">
        <f t="shared" ref="H2:H45" si="0">+_xlfn.RANK.EQ(G2,$G$2:$G$45,1)</f>
        <v>1</v>
      </c>
      <c r="I2" s="133" t="str">
        <f>+IF(VLOOKUP(A2,'Estado SCI'!$A$16:$G$59,7,0)="","",VLOOKUP(A2,'Estado SCI'!$A$16:$G$59,7,0))</f>
        <v>En proceso</v>
      </c>
      <c r="J2" s="134">
        <f>+IF(I2="Si",1,IF(I2="En proceso",0.5,0))</f>
        <v>0.5</v>
      </c>
      <c r="K2" s="135">
        <f t="shared" ref="K2:K45" si="1">+AVERAGEIF($B$2:$B$45,B2,$J$2:$J$45)</f>
        <v>0.66666666666666663</v>
      </c>
    </row>
    <row r="3" spans="1:11" x14ac:dyDescent="0.25">
      <c r="A3" s="133" t="s">
        <v>142</v>
      </c>
      <c r="B3" s="133" t="s">
        <v>32</v>
      </c>
      <c r="C3" s="133" t="s">
        <v>33</v>
      </c>
      <c r="D3" s="133" t="s">
        <v>36</v>
      </c>
      <c r="E3" s="133" t="s">
        <v>37</v>
      </c>
      <c r="F3" s="133" t="str">
        <f>+VLOOKUP(A3,'Estado SCI'!$A$16:$I$59,9,0)</f>
        <v>Oportunidad de mejora</v>
      </c>
      <c r="G3" s="133">
        <f>+VLOOKUP(A3,'Estado SCI'!$A$16:$L$59,12,0)</f>
        <v>10.1234</v>
      </c>
      <c r="H3" s="133">
        <f t="shared" si="0"/>
        <v>2</v>
      </c>
      <c r="I3" s="133" t="str">
        <f>+IF(VLOOKUP(A3,'Estado SCI'!$A$16:$G$59,7,0)="","",VLOOKUP(A3,'Estado SCI'!$A$16:$G$59,7,0))</f>
        <v>En proceso</v>
      </c>
      <c r="J3" s="134">
        <f t="shared" ref="J3:J45" si="2">+IF(I3="Si",1,IF(I3="En proceso",0.5,0))</f>
        <v>0.5</v>
      </c>
      <c r="K3" s="135">
        <f t="shared" si="1"/>
        <v>0.66666666666666663</v>
      </c>
    </row>
    <row r="4" spans="1:11" x14ac:dyDescent="0.25">
      <c r="A4" s="133" t="s">
        <v>143</v>
      </c>
      <c r="B4" s="133" t="s">
        <v>32</v>
      </c>
      <c r="C4" s="133" t="s">
        <v>33</v>
      </c>
      <c r="D4" s="133" t="s">
        <v>39</v>
      </c>
      <c r="E4" s="133" t="s">
        <v>40</v>
      </c>
      <c r="F4" s="133" t="str">
        <f>+VLOOKUP(A4,'Estado SCI'!$A$16:$I$59,9,0)</f>
        <v>Oportunidad de mejora</v>
      </c>
      <c r="G4" s="133">
        <f>+VLOOKUP(A4,'Estado SCI'!$A$16:$L$59,12,0)</f>
        <v>10.12345</v>
      </c>
      <c r="H4" s="133">
        <f t="shared" si="0"/>
        <v>3</v>
      </c>
      <c r="I4" s="133" t="str">
        <f>+IF(VLOOKUP(A4,'Estado SCI'!$A$16:$G$59,7,0)="","",VLOOKUP(A4,'Estado SCI'!$A$16:$G$59,7,0))</f>
        <v>En proceso</v>
      </c>
      <c r="J4" s="134">
        <f t="shared" si="2"/>
        <v>0.5</v>
      </c>
      <c r="K4" s="135">
        <f t="shared" si="1"/>
        <v>0.66666666666666663</v>
      </c>
    </row>
    <row r="5" spans="1:11" x14ac:dyDescent="0.25">
      <c r="A5" s="133" t="s">
        <v>144</v>
      </c>
      <c r="B5" s="133" t="s">
        <v>32</v>
      </c>
      <c r="C5" s="133" t="s">
        <v>33</v>
      </c>
      <c r="D5" s="133" t="s">
        <v>41</v>
      </c>
      <c r="E5" s="133" t="s">
        <v>42</v>
      </c>
      <c r="F5" s="133" t="str">
        <f>+VLOOKUP(A5,'Estado SCI'!$A$16:$I$59,9,0)</f>
        <v>Mantenimiento del control</v>
      </c>
      <c r="G5" s="133">
        <f>+VLOOKUP(A5,'Estado SCI'!$A$16:$L$59,12,0)</f>
        <v>20.123456000000001</v>
      </c>
      <c r="H5" s="133">
        <f t="shared" si="0"/>
        <v>9</v>
      </c>
      <c r="I5" s="133" t="str">
        <f>+IF(VLOOKUP(A5,'Estado SCI'!$A$16:$G$59,7,0)="","",VLOOKUP(A5,'Estado SCI'!$A$16:$G$59,7,0))</f>
        <v>Si</v>
      </c>
      <c r="J5" s="134">
        <f t="shared" si="2"/>
        <v>1</v>
      </c>
      <c r="K5" s="135">
        <f t="shared" si="1"/>
        <v>0.66666666666666663</v>
      </c>
    </row>
    <row r="6" spans="1:11" x14ac:dyDescent="0.25">
      <c r="A6" s="133" t="s">
        <v>145</v>
      </c>
      <c r="B6" s="133" t="s">
        <v>32</v>
      </c>
      <c r="C6" s="133" t="s">
        <v>33</v>
      </c>
      <c r="D6" s="133" t="s">
        <v>43</v>
      </c>
      <c r="E6" s="133" t="s">
        <v>44</v>
      </c>
      <c r="F6" s="133" t="str">
        <f>+VLOOKUP(A6,'Estado SCI'!$A$16:$I$59,9,0)</f>
        <v>Oportunidad de mejora</v>
      </c>
      <c r="G6" s="133">
        <f>+VLOOKUP(A6,'Estado SCI'!$A$16:$L$59,12,0)</f>
        <v>10.12345678</v>
      </c>
      <c r="H6" s="133">
        <f t="shared" si="0"/>
        <v>4</v>
      </c>
      <c r="I6" s="133" t="str">
        <f>+IF(VLOOKUP(A6,'Estado SCI'!$A$16:$G$59,7,0)="","",VLOOKUP(A6,'Estado SCI'!$A$16:$G$59,7,0))</f>
        <v>En proceso</v>
      </c>
      <c r="J6" s="134">
        <f t="shared" si="2"/>
        <v>0.5</v>
      </c>
      <c r="K6" s="135">
        <f t="shared" si="1"/>
        <v>0.66666666666666663</v>
      </c>
    </row>
    <row r="7" spans="1:11" x14ac:dyDescent="0.25">
      <c r="A7" s="133" t="s">
        <v>146</v>
      </c>
      <c r="B7" s="133" t="s">
        <v>32</v>
      </c>
      <c r="C7" s="133" t="s">
        <v>33</v>
      </c>
      <c r="D7" s="133" t="s">
        <v>45</v>
      </c>
      <c r="E7" s="133" t="s">
        <v>46</v>
      </c>
      <c r="F7" s="133" t="str">
        <f>+VLOOKUP(A7,'Estado SCI'!$A$16:$I$59,9,0)</f>
        <v>Oportunidad de mejora</v>
      </c>
      <c r="G7" s="133">
        <f>+VLOOKUP(A7,'Estado SCI'!$A$16:$L$59,12,0)</f>
        <v>10.123456789</v>
      </c>
      <c r="H7" s="133">
        <f t="shared" si="0"/>
        <v>5</v>
      </c>
      <c r="I7" s="133" t="str">
        <f>+IF(VLOOKUP(A7,'Estado SCI'!$A$16:$G$59,7,0)="","",VLOOKUP(A7,'Estado SCI'!$A$16:$G$59,7,0))</f>
        <v>En proceso</v>
      </c>
      <c r="J7" s="134">
        <f t="shared" si="2"/>
        <v>0.5</v>
      </c>
      <c r="K7" s="135">
        <f t="shared" si="1"/>
        <v>0.66666666666666663</v>
      </c>
    </row>
    <row r="8" spans="1:11" x14ac:dyDescent="0.25">
      <c r="A8" s="133" t="s">
        <v>147</v>
      </c>
      <c r="B8" s="133" t="s">
        <v>32</v>
      </c>
      <c r="C8" s="133" t="s">
        <v>33</v>
      </c>
      <c r="D8" s="133" t="s">
        <v>47</v>
      </c>
      <c r="E8" s="133" t="s">
        <v>48</v>
      </c>
      <c r="F8" s="133" t="str">
        <f>+VLOOKUP(A8,'Estado SCI'!$A$16:$I$59,9,0)</f>
        <v>Mantenimiento del control</v>
      </c>
      <c r="G8" s="133">
        <f>+VLOOKUP(A8,'Estado SCI'!$A$16:$L$59,12,0)</f>
        <v>20.1234567891</v>
      </c>
      <c r="H8" s="133">
        <f t="shared" si="0"/>
        <v>10</v>
      </c>
      <c r="I8" s="133" t="str">
        <f>+IF(VLOOKUP(A8,'Estado SCI'!$A$16:$G$59,7,0)="","",VLOOKUP(A8,'Estado SCI'!$A$16:$G$59,7,0))</f>
        <v>Si</v>
      </c>
      <c r="J8" s="134">
        <f t="shared" si="2"/>
        <v>1</v>
      </c>
      <c r="K8" s="135">
        <f t="shared" si="1"/>
        <v>0.66666666666666663</v>
      </c>
    </row>
    <row r="9" spans="1:11" x14ac:dyDescent="0.25">
      <c r="A9" s="133" t="s">
        <v>148</v>
      </c>
      <c r="B9" s="133" t="s">
        <v>32</v>
      </c>
      <c r="C9" s="133" t="s">
        <v>33</v>
      </c>
      <c r="D9" s="133" t="s">
        <v>49</v>
      </c>
      <c r="E9" s="133" t="s">
        <v>50</v>
      </c>
      <c r="F9" s="133" t="str">
        <f>+VLOOKUP(A9,'Estado SCI'!$A$16:$I$59,9,0)</f>
        <v>Oportunidad de mejora</v>
      </c>
      <c r="G9" s="133">
        <f>+VLOOKUP(A9,'Estado SCI'!$A$16:$L$59,12,0)</f>
        <v>10.12345678912</v>
      </c>
      <c r="H9" s="133">
        <f t="shared" si="0"/>
        <v>6</v>
      </c>
      <c r="I9" s="133" t="str">
        <f>+IF(VLOOKUP(A9,'Estado SCI'!$A$16:$G$59,7,0)="","",VLOOKUP(A9,'Estado SCI'!$A$16:$G$59,7,0))</f>
        <v>En proceso</v>
      </c>
      <c r="J9" s="134">
        <f t="shared" si="2"/>
        <v>0.5</v>
      </c>
      <c r="K9" s="135">
        <f t="shared" si="1"/>
        <v>0.66666666666666663</v>
      </c>
    </row>
    <row r="10" spans="1:11" x14ac:dyDescent="0.25">
      <c r="A10" s="133" t="s">
        <v>149</v>
      </c>
      <c r="B10" s="133" t="s">
        <v>32</v>
      </c>
      <c r="C10" s="133" t="s">
        <v>33</v>
      </c>
      <c r="D10" s="133" t="s">
        <v>51</v>
      </c>
      <c r="E10" s="133" t="s">
        <v>52</v>
      </c>
      <c r="F10" s="133" t="str">
        <f>+VLOOKUP(A10,'Estado SCI'!$A$16:$I$59,9,0)</f>
        <v>Mantenimiento del control</v>
      </c>
      <c r="G10" s="133">
        <f>+VLOOKUP(A10,'Estado SCI'!$A$16:$L$59,12,0)</f>
        <v>20.123456789123001</v>
      </c>
      <c r="H10" s="133">
        <f t="shared" si="0"/>
        <v>11</v>
      </c>
      <c r="I10" s="133" t="str">
        <f>+IF(VLOOKUP(A10,'Estado SCI'!$A$16:$G$59,7,0)="","",VLOOKUP(A10,'Estado SCI'!$A$16:$G$59,7,0))</f>
        <v>Si</v>
      </c>
      <c r="J10" s="134">
        <f t="shared" si="2"/>
        <v>1</v>
      </c>
      <c r="K10" s="135">
        <f t="shared" si="1"/>
        <v>0.66666666666666663</v>
      </c>
    </row>
    <row r="11" spans="1:11" x14ac:dyDescent="0.25">
      <c r="A11" s="133" t="s">
        <v>150</v>
      </c>
      <c r="B11" s="133" t="s">
        <v>32</v>
      </c>
      <c r="C11" s="133" t="s">
        <v>33</v>
      </c>
      <c r="D11" s="133" t="s">
        <v>53</v>
      </c>
      <c r="E11" s="133" t="s">
        <v>54</v>
      </c>
      <c r="F11" s="133" t="str">
        <f>+VLOOKUP(A11,'Estado SCI'!$A$16:$I$59,9,0)</f>
        <v>Oportunidad de mejora</v>
      </c>
      <c r="G11" s="133">
        <f>+VLOOKUP(A11,'Estado SCI'!$A$16:$L$59,12,0)</f>
        <v>10.1234567891234</v>
      </c>
      <c r="H11" s="133">
        <f t="shared" si="0"/>
        <v>7</v>
      </c>
      <c r="I11" s="133" t="str">
        <f>+IF(VLOOKUP(A11,'Estado SCI'!$A$16:$G$59,7,0)="","",VLOOKUP(A11,'Estado SCI'!$A$16:$G$59,7,0))</f>
        <v>En proceso</v>
      </c>
      <c r="J11" s="134">
        <f t="shared" si="2"/>
        <v>0.5</v>
      </c>
      <c r="K11" s="135">
        <f t="shared" si="1"/>
        <v>0.66666666666666663</v>
      </c>
    </row>
    <row r="12" spans="1:11" x14ac:dyDescent="0.25">
      <c r="A12" s="133" t="s">
        <v>151</v>
      </c>
      <c r="B12" s="133" t="s">
        <v>32</v>
      </c>
      <c r="C12" s="133" t="s">
        <v>33</v>
      </c>
      <c r="D12" s="133" t="s">
        <v>55</v>
      </c>
      <c r="E12" s="133" t="s">
        <v>56</v>
      </c>
      <c r="F12" s="133" t="str">
        <f>+VLOOKUP(A12,'Estado SCI'!$A$16:$I$59,9,0)</f>
        <v>Oportunidad de mejora</v>
      </c>
      <c r="G12" s="133">
        <f>+VLOOKUP(A12,'Estado SCI'!$A$16:$L$59,12,0)</f>
        <v>10.12345678912345</v>
      </c>
      <c r="H12" s="133">
        <f t="shared" si="0"/>
        <v>8</v>
      </c>
      <c r="I12" s="133" t="str">
        <f>+IF(VLOOKUP(A12,'Estado SCI'!$A$16:$G$59,7,0)="","",VLOOKUP(A12,'Estado SCI'!$A$16:$G$59,7,0))</f>
        <v>En proceso</v>
      </c>
      <c r="J12" s="134">
        <f t="shared" si="2"/>
        <v>0.5</v>
      </c>
      <c r="K12" s="135">
        <f t="shared" si="1"/>
        <v>0.66666666666666663</v>
      </c>
    </row>
    <row r="13" spans="1:11" x14ac:dyDescent="0.25">
      <c r="A13" s="133" t="s">
        <v>152</v>
      </c>
      <c r="B13" s="133" t="s">
        <v>32</v>
      </c>
      <c r="C13" s="133" t="s">
        <v>33</v>
      </c>
      <c r="D13" s="133" t="s">
        <v>57</v>
      </c>
      <c r="E13" s="133" t="s">
        <v>58</v>
      </c>
      <c r="F13" s="133" t="str">
        <f>+VLOOKUP(A13,'Estado SCI'!$A$16:$I$59,9,0)</f>
        <v>Mantenimiento del control</v>
      </c>
      <c r="G13" s="133">
        <f>+VLOOKUP(A13,'Estado SCI'!$A$16:$L$59,12,0)</f>
        <v>20.123456789123455</v>
      </c>
      <c r="H13" s="133">
        <f t="shared" si="0"/>
        <v>12</v>
      </c>
      <c r="I13" s="133" t="str">
        <f>+IF(VLOOKUP(A13,'Estado SCI'!$A$16:$G$59,7,0)="","",VLOOKUP(A13,'Estado SCI'!$A$16:$G$59,7,0))</f>
        <v>Si</v>
      </c>
      <c r="J13" s="134">
        <f t="shared" si="2"/>
        <v>1</v>
      </c>
      <c r="K13" s="135">
        <f t="shared" si="1"/>
        <v>0.66666666666666663</v>
      </c>
    </row>
    <row r="14" spans="1:11" ht="15" customHeight="1" x14ac:dyDescent="0.25">
      <c r="A14" s="133" t="s">
        <v>153</v>
      </c>
      <c r="B14" s="133" t="str">
        <f>+VLOOKUP(A14,'Estado SCI'!$A$16:$C$59,3,0)</f>
        <v>EVALUACION DEL RIESGO</v>
      </c>
      <c r="C14" s="133" t="s">
        <v>61</v>
      </c>
      <c r="D14" s="133" t="s">
        <v>34</v>
      </c>
      <c r="E14" s="133" t="s">
        <v>154</v>
      </c>
      <c r="F14" s="133" t="str">
        <f>+VLOOKUP(A14,'Estado SCI'!$A$16:$I$59,9,0)</f>
        <v>Oportunidad de mejora</v>
      </c>
      <c r="G14" s="133">
        <f>+VLOOKUP(A14,'Estado SCI'!$A$16:$L$59,12,0)</f>
        <v>30.23</v>
      </c>
      <c r="H14" s="133">
        <f t="shared" si="0"/>
        <v>13</v>
      </c>
      <c r="I14" s="133" t="str">
        <f>+IF(VLOOKUP(A14,'Estado SCI'!$A$16:$G$59,7,0)="","",VLOOKUP(A14,'Estado SCI'!$A$16:$G$59,7,0))</f>
        <v>En proceso</v>
      </c>
      <c r="J14" s="134">
        <f t="shared" si="2"/>
        <v>0.5</v>
      </c>
      <c r="K14" s="135">
        <f t="shared" si="1"/>
        <v>0.8</v>
      </c>
    </row>
    <row r="15" spans="1:11" ht="15" customHeight="1" x14ac:dyDescent="0.25">
      <c r="A15" s="133" t="s">
        <v>155</v>
      </c>
      <c r="B15" s="133" t="s">
        <v>60</v>
      </c>
      <c r="C15" s="133" t="s">
        <v>61</v>
      </c>
      <c r="D15" s="133" t="s">
        <v>36</v>
      </c>
      <c r="E15" s="133" t="s">
        <v>156</v>
      </c>
      <c r="F15" s="133" t="str">
        <f>+VLOOKUP(A15,'Estado SCI'!$A$16:$I$59,9,0)</f>
        <v>Mantenimiento del control</v>
      </c>
      <c r="G15" s="133">
        <f>+VLOOKUP(A15,'Estado SCI'!$A$16:$L$59,12,0)</f>
        <v>40.234000000000002</v>
      </c>
      <c r="H15" s="133">
        <f t="shared" si="0"/>
        <v>17</v>
      </c>
      <c r="I15" s="133" t="str">
        <f>+IF(VLOOKUP(A15,'Estado SCI'!$A$16:$G$59,7,0)="","",VLOOKUP(A15,'Estado SCI'!$A$16:$G$59,7,0))</f>
        <v>Si</v>
      </c>
      <c r="J15" s="134">
        <f t="shared" si="2"/>
        <v>1</v>
      </c>
      <c r="K15" s="135">
        <f t="shared" si="1"/>
        <v>0.8</v>
      </c>
    </row>
    <row r="16" spans="1:11" ht="15" customHeight="1" x14ac:dyDescent="0.25">
      <c r="A16" s="133" t="s">
        <v>157</v>
      </c>
      <c r="B16" s="133" t="s">
        <v>60</v>
      </c>
      <c r="C16" s="133" t="s">
        <v>61</v>
      </c>
      <c r="D16" s="133" t="s">
        <v>39</v>
      </c>
      <c r="E16" s="133" t="s">
        <v>158</v>
      </c>
      <c r="F16" s="133" t="str">
        <f>+VLOOKUP(A16,'Estado SCI'!$A$16:$I$59,9,0)</f>
        <v>Mantenimiento del control</v>
      </c>
      <c r="G16" s="133">
        <f>+VLOOKUP(A16,'Estado SCI'!$A$16:$L$59,12,0)</f>
        <v>40.234499999999997</v>
      </c>
      <c r="H16" s="133">
        <f t="shared" si="0"/>
        <v>18</v>
      </c>
      <c r="I16" s="133" t="str">
        <f>+IF(VLOOKUP(A16,'Estado SCI'!$A$16:$G$59,7,0)="","",VLOOKUP(A16,'Estado SCI'!$A$16:$G$59,7,0))</f>
        <v>Si</v>
      </c>
      <c r="J16" s="134">
        <f t="shared" si="2"/>
        <v>1</v>
      </c>
      <c r="K16" s="135">
        <f t="shared" si="1"/>
        <v>0.8</v>
      </c>
    </row>
    <row r="17" spans="1:11" ht="15.75" customHeight="1" x14ac:dyDescent="0.25">
      <c r="A17" s="133" t="s">
        <v>159</v>
      </c>
      <c r="B17" s="133" t="s">
        <v>60</v>
      </c>
      <c r="C17" s="133" t="s">
        <v>61</v>
      </c>
      <c r="D17" s="133" t="s">
        <v>41</v>
      </c>
      <c r="E17" s="133" t="s">
        <v>65</v>
      </c>
      <c r="F17" s="133" t="str">
        <f>+VLOOKUP(A17,'Estado SCI'!$A$16:$I$59,9,0)</f>
        <v>Oportunidad de mejora</v>
      </c>
      <c r="G17" s="133">
        <f>+VLOOKUP(A17,'Estado SCI'!$A$16:$L$59,12,0)</f>
        <v>30.234559999999998</v>
      </c>
      <c r="H17" s="133">
        <f t="shared" si="0"/>
        <v>14</v>
      </c>
      <c r="I17" s="133" t="str">
        <f>+IF(VLOOKUP(A17,'Estado SCI'!$A$16:$G$59,7,0)="","",VLOOKUP(A17,'Estado SCI'!$A$16:$G$59,7,0))</f>
        <v>En proceso</v>
      </c>
      <c r="J17" s="134">
        <f t="shared" si="2"/>
        <v>0.5</v>
      </c>
      <c r="K17" s="135">
        <f t="shared" si="1"/>
        <v>0.8</v>
      </c>
    </row>
    <row r="18" spans="1:11" ht="15" customHeight="1" x14ac:dyDescent="0.25">
      <c r="A18" s="133" t="s">
        <v>160</v>
      </c>
      <c r="B18" s="133" t="s">
        <v>60</v>
      </c>
      <c r="C18" s="133" t="s">
        <v>79</v>
      </c>
      <c r="D18" s="133" t="s">
        <v>34</v>
      </c>
      <c r="E18" s="133" t="s">
        <v>68</v>
      </c>
      <c r="F18" s="133" t="str">
        <f>+VLOOKUP(A18,'Estado SCI'!$A$16:$I$59,9,0)</f>
        <v>Mantenimiento del control</v>
      </c>
      <c r="G18" s="133">
        <f>+VLOOKUP(A18,'Estado SCI'!$A$16:$L$59,12,0)</f>
        <v>40.234566999999998</v>
      </c>
      <c r="H18" s="133">
        <f t="shared" si="0"/>
        <v>19</v>
      </c>
      <c r="I18" s="133" t="str">
        <f>+IF(VLOOKUP(A18,'Estado SCI'!$A$16:$G$59,7,0)="","",VLOOKUP(A18,'Estado SCI'!$A$16:$G$59,7,0))</f>
        <v>Si</v>
      </c>
      <c r="J18" s="134">
        <f t="shared" si="2"/>
        <v>1</v>
      </c>
      <c r="K18" s="135">
        <f t="shared" si="1"/>
        <v>0.8</v>
      </c>
    </row>
    <row r="19" spans="1:11" ht="15" customHeight="1" x14ac:dyDescent="0.25">
      <c r="A19" s="133" t="s">
        <v>161</v>
      </c>
      <c r="B19" s="133" t="s">
        <v>60</v>
      </c>
      <c r="C19" s="133" t="s">
        <v>79</v>
      </c>
      <c r="D19" s="133" t="s">
        <v>36</v>
      </c>
      <c r="E19" s="133" t="s">
        <v>69</v>
      </c>
      <c r="F19" s="133" t="str">
        <f>+VLOOKUP(A19,'Estado SCI'!$A$16:$I$59,9,0)</f>
        <v>Mantenimiento del control</v>
      </c>
      <c r="G19" s="133">
        <f>+VLOOKUP(A19,'Estado SCI'!$A$16:$L$59,12,0)</f>
        <v>40.234567800000001</v>
      </c>
      <c r="H19" s="133">
        <f t="shared" si="0"/>
        <v>20</v>
      </c>
      <c r="I19" s="133" t="str">
        <f>+IF(VLOOKUP(A19,'Estado SCI'!$A$16:$G$59,7,0)="","",VLOOKUP(A19,'Estado SCI'!$A$16:$G$59,7,0))</f>
        <v>Si</v>
      </c>
      <c r="J19" s="134">
        <f t="shared" si="2"/>
        <v>1</v>
      </c>
      <c r="K19" s="135">
        <f t="shared" si="1"/>
        <v>0.8</v>
      </c>
    </row>
    <row r="20" spans="1:11" ht="15" customHeight="1" x14ac:dyDescent="0.25">
      <c r="A20" s="133" t="s">
        <v>162</v>
      </c>
      <c r="B20" s="133" t="s">
        <v>60</v>
      </c>
      <c r="C20" s="133" t="s">
        <v>79</v>
      </c>
      <c r="D20" s="133" t="s">
        <v>39</v>
      </c>
      <c r="E20" s="133" t="s">
        <v>70</v>
      </c>
      <c r="F20" s="133" t="str">
        <f>+VLOOKUP(A20,'Estado SCI'!$A$16:$I$59,9,0)</f>
        <v>Oportunidad de mejora</v>
      </c>
      <c r="G20" s="133">
        <f>+VLOOKUP(A20,'Estado SCI'!$A$16:$L$59,12,0)</f>
        <v>30.234567890000001</v>
      </c>
      <c r="H20" s="133">
        <f t="shared" si="0"/>
        <v>15</v>
      </c>
      <c r="I20" s="133" t="str">
        <f>+IF(VLOOKUP(A20,'Estado SCI'!$A$16:$G$59,7,0)="","",VLOOKUP(A20,'Estado SCI'!$A$16:$G$59,7,0))</f>
        <v>En proceso</v>
      </c>
      <c r="J20" s="134">
        <f t="shared" si="2"/>
        <v>0.5</v>
      </c>
      <c r="K20" s="135">
        <f t="shared" si="1"/>
        <v>0.8</v>
      </c>
    </row>
    <row r="21" spans="1:11" ht="15.75" customHeight="1" x14ac:dyDescent="0.25">
      <c r="A21" s="133" t="s">
        <v>163</v>
      </c>
      <c r="B21" s="133" t="s">
        <v>60</v>
      </c>
      <c r="C21" s="133" t="s">
        <v>79</v>
      </c>
      <c r="D21" s="133" t="s">
        <v>34</v>
      </c>
      <c r="E21" s="133" t="s">
        <v>73</v>
      </c>
      <c r="F21" s="133" t="str">
        <f>+VLOOKUP(A21,'Estado SCI'!$A$16:$I$59,9,0)</f>
        <v>Mantenimiento del control</v>
      </c>
      <c r="G21" s="133">
        <f>+VLOOKUP(A21,'Estado SCI'!$A$16:$L$59,12,0)</f>
        <v>40.234567891200001</v>
      </c>
      <c r="H21" s="133">
        <f t="shared" si="0"/>
        <v>21</v>
      </c>
      <c r="I21" s="133" t="str">
        <f>+IF(VLOOKUP(A21,'Estado SCI'!$A$16:$G$59,7,0)="","",VLOOKUP(A21,'Estado SCI'!$A$16:$G$59,7,0))</f>
        <v>Si</v>
      </c>
      <c r="J21" s="134">
        <f t="shared" si="2"/>
        <v>1</v>
      </c>
      <c r="K21" s="135">
        <f t="shared" si="1"/>
        <v>0.8</v>
      </c>
    </row>
    <row r="22" spans="1:11" ht="15" customHeight="1" x14ac:dyDescent="0.25">
      <c r="A22" s="133" t="s">
        <v>164</v>
      </c>
      <c r="B22" s="133" t="s">
        <v>60</v>
      </c>
      <c r="C22" s="133" t="s">
        <v>87</v>
      </c>
      <c r="D22" s="133" t="s">
        <v>36</v>
      </c>
      <c r="E22" s="133" t="s">
        <v>74</v>
      </c>
      <c r="F22" s="133" t="str">
        <f>+VLOOKUP(A22,'Estado SCI'!$A$16:$I$59,9,0)</f>
        <v>Mantenimiento del control</v>
      </c>
      <c r="G22" s="133">
        <f>+VLOOKUP(A22,'Estado SCI'!$A$16:$L$59,12,0)</f>
        <v>40.23456789123</v>
      </c>
      <c r="H22" s="133">
        <f t="shared" si="0"/>
        <v>22</v>
      </c>
      <c r="I22" s="133" t="str">
        <f>+IF(VLOOKUP(A22,'Estado SCI'!$A$16:$G$59,7,0)="","",VLOOKUP(A22,'Estado SCI'!$A$16:$G$59,7,0))</f>
        <v>Si</v>
      </c>
      <c r="J22" s="134">
        <f t="shared" si="2"/>
        <v>1</v>
      </c>
      <c r="K22" s="135">
        <f t="shared" si="1"/>
        <v>0.8</v>
      </c>
    </row>
    <row r="23" spans="1:11" ht="15" customHeight="1" x14ac:dyDescent="0.25">
      <c r="A23" s="133" t="s">
        <v>165</v>
      </c>
      <c r="B23" s="133" t="s">
        <v>60</v>
      </c>
      <c r="C23" s="133" t="s">
        <v>87</v>
      </c>
      <c r="D23" s="133" t="s">
        <v>39</v>
      </c>
      <c r="E23" s="133" t="s">
        <v>76</v>
      </c>
      <c r="F23" s="133" t="str">
        <f>+VLOOKUP(A23,'Estado SCI'!$A$16:$I$59,9,0)</f>
        <v>Oportunidad de mejora</v>
      </c>
      <c r="G23" s="133">
        <f>+VLOOKUP(A23,'Estado SCI'!$A$16:$L$59,12,0)</f>
        <v>30.234567891234001</v>
      </c>
      <c r="H23" s="133">
        <f t="shared" si="0"/>
        <v>16</v>
      </c>
      <c r="I23" s="133" t="str">
        <f>+IF(VLOOKUP(A23,'Estado SCI'!$A$16:$G$59,7,0)="","",VLOOKUP(A23,'Estado SCI'!$A$16:$G$59,7,0))</f>
        <v>En proceso</v>
      </c>
      <c r="J23" s="134">
        <f t="shared" si="2"/>
        <v>0.5</v>
      </c>
      <c r="K23" s="135">
        <f t="shared" si="1"/>
        <v>0.8</v>
      </c>
    </row>
    <row r="24" spans="1:11" ht="15" customHeight="1" x14ac:dyDescent="0.25">
      <c r="A24" s="133" t="s">
        <v>166</v>
      </c>
      <c r="B24" s="133" t="str">
        <f>+VLOOKUP(A24,'Estado SCI'!$A$16:$C$59,3,0)</f>
        <v>ACTIVIDADES DE CONTROL</v>
      </c>
      <c r="C24" s="133" t="s">
        <v>87</v>
      </c>
      <c r="D24" s="133" t="s">
        <v>34</v>
      </c>
      <c r="E24" s="133" t="s">
        <v>80</v>
      </c>
      <c r="F24" s="133" t="str">
        <f>+VLOOKUP(A24,'Estado SCI'!$A$16:$I$59,9,0)</f>
        <v>Oportunidad de mejora</v>
      </c>
      <c r="G24" s="133">
        <f>+VLOOKUP(A24,'Estado SCI'!$A$16:$L$59,12,0)</f>
        <v>50.31</v>
      </c>
      <c r="H24" s="133">
        <f t="shared" si="0"/>
        <v>23</v>
      </c>
      <c r="I24" s="133" t="str">
        <f>+IF(VLOOKUP(A24,'Estado SCI'!$A$16:$G$59,7,0)="","",VLOOKUP(A24,'Estado SCI'!$A$16:$G$59,7,0))</f>
        <v>En proceso</v>
      </c>
      <c r="J24" s="134">
        <f t="shared" si="2"/>
        <v>0.5</v>
      </c>
      <c r="K24" s="135">
        <f t="shared" si="1"/>
        <v>0.7</v>
      </c>
    </row>
    <row r="25" spans="1:11" ht="15" customHeight="1" x14ac:dyDescent="0.25">
      <c r="A25" s="133" t="s">
        <v>167</v>
      </c>
      <c r="B25" s="133" t="s">
        <v>78</v>
      </c>
      <c r="C25" s="133" t="s">
        <v>87</v>
      </c>
      <c r="D25" s="133" t="s">
        <v>36</v>
      </c>
      <c r="E25" s="133" t="s">
        <v>81</v>
      </c>
      <c r="F25" s="133" t="str">
        <f>+VLOOKUP(A25,'Estado SCI'!$A$16:$I$59,9,0)</f>
        <v>Oportunidad de mejora</v>
      </c>
      <c r="G25" s="133">
        <f>+VLOOKUP(A25,'Estado SCI'!$A$16:$L$59,12,0)</f>
        <v>50.323</v>
      </c>
      <c r="H25" s="133">
        <f t="shared" si="0"/>
        <v>24</v>
      </c>
      <c r="I25" s="133" t="str">
        <f>+IF(VLOOKUP(A25,'Estado SCI'!$A$16:$G$59,7,0)="","",VLOOKUP(A25,'Estado SCI'!$A$16:$G$59,7,0))</f>
        <v>En proceso</v>
      </c>
      <c r="J25" s="134">
        <f t="shared" si="2"/>
        <v>0.5</v>
      </c>
      <c r="K25" s="135">
        <f t="shared" si="1"/>
        <v>0.7</v>
      </c>
    </row>
    <row r="26" spans="1:11" ht="15" customHeight="1" x14ac:dyDescent="0.25">
      <c r="A26" s="133" t="s">
        <v>168</v>
      </c>
      <c r="B26" s="133" t="s">
        <v>78</v>
      </c>
      <c r="C26" s="133" t="s">
        <v>87</v>
      </c>
      <c r="D26" s="133" t="s">
        <v>39</v>
      </c>
      <c r="E26" s="133" t="s">
        <v>82</v>
      </c>
      <c r="F26" s="133" t="str">
        <f>+VLOOKUP(A26,'Estado SCI'!$A$16:$I$59,9,0)</f>
        <v>Oportunidad de mejora</v>
      </c>
      <c r="G26" s="133">
        <f>+VLOOKUP(A26,'Estado SCI'!$A$16:$L$59,12,0)</f>
        <v>50.323999999999998</v>
      </c>
      <c r="H26" s="133">
        <f t="shared" si="0"/>
        <v>25</v>
      </c>
      <c r="I26" s="133" t="str">
        <f>+IF(VLOOKUP(A26,'Estado SCI'!$A$16:$G$59,7,0)="","",VLOOKUP(A26,'Estado SCI'!$A$16:$G$59,7,0))</f>
        <v>En proceso</v>
      </c>
      <c r="J26" s="134">
        <f t="shared" si="2"/>
        <v>0.5</v>
      </c>
      <c r="K26" s="135">
        <f t="shared" si="1"/>
        <v>0.7</v>
      </c>
    </row>
    <row r="27" spans="1:11" ht="15.75" customHeight="1" x14ac:dyDescent="0.25">
      <c r="A27" s="133" t="s">
        <v>169</v>
      </c>
      <c r="B27" s="133" t="s">
        <v>78</v>
      </c>
      <c r="C27" s="133" t="s">
        <v>87</v>
      </c>
      <c r="D27" s="133" t="s">
        <v>41</v>
      </c>
      <c r="E27" s="133" t="s">
        <v>83</v>
      </c>
      <c r="F27" s="133" t="str">
        <f>+VLOOKUP(A27,'Estado SCI'!$A$16:$I$59,9,0)</f>
        <v>Mantenimiento del control</v>
      </c>
      <c r="G27" s="133">
        <f>+VLOOKUP(A27,'Estado SCI'!$A$16:$L$59,12,0)</f>
        <v>60.325000000000003</v>
      </c>
      <c r="H27" s="133">
        <f t="shared" si="0"/>
        <v>26</v>
      </c>
      <c r="I27" s="133" t="str">
        <f>+IF(VLOOKUP(A27,'Estado SCI'!$A$16:$G$59,7,0)="","",VLOOKUP(A27,'Estado SCI'!$A$16:$G$59,7,0))</f>
        <v>Si</v>
      </c>
      <c r="J27" s="134">
        <f t="shared" si="2"/>
        <v>1</v>
      </c>
      <c r="K27" s="135">
        <f t="shared" si="1"/>
        <v>0.7</v>
      </c>
    </row>
    <row r="28" spans="1:11" ht="15" customHeight="1" x14ac:dyDescent="0.25">
      <c r="A28" s="133" t="s">
        <v>170</v>
      </c>
      <c r="B28" s="133" t="s">
        <v>78</v>
      </c>
      <c r="C28" s="133" t="s">
        <v>97</v>
      </c>
      <c r="D28" s="133" t="s">
        <v>43</v>
      </c>
      <c r="E28" s="133" t="s">
        <v>84</v>
      </c>
      <c r="F28" s="133" t="str">
        <f>+VLOOKUP(A28,'Estado SCI'!$A$16:$I$59,9,0)</f>
        <v>Mantenimiento del control</v>
      </c>
      <c r="G28" s="133">
        <f>+VLOOKUP(A28,'Estado SCI'!$A$16:$L$59,12,0)</f>
        <v>60.326000000000001</v>
      </c>
      <c r="H28" s="133">
        <f t="shared" si="0"/>
        <v>27</v>
      </c>
      <c r="I28" s="133" t="str">
        <f>+IF(VLOOKUP(A28,'Estado SCI'!$A$16:$G$59,7,0)="","",VLOOKUP(A28,'Estado SCI'!$A$16:$G$59,7,0))</f>
        <v>Si</v>
      </c>
      <c r="J28" s="134">
        <f t="shared" si="2"/>
        <v>1</v>
      </c>
      <c r="K28" s="135">
        <f t="shared" si="1"/>
        <v>0.7</v>
      </c>
    </row>
    <row r="29" spans="1:11" ht="15" customHeight="1" x14ac:dyDescent="0.25">
      <c r="A29" s="133" t="s">
        <v>171</v>
      </c>
      <c r="B29" s="133" t="str">
        <f>+VLOOKUP(A29,'Estado SCI'!$A$16:$C$59,3,0)</f>
        <v>INFORMACION Y COMUNICACIÓN</v>
      </c>
      <c r="C29" s="133" t="s">
        <v>97</v>
      </c>
      <c r="D29" s="133" t="s">
        <v>34</v>
      </c>
      <c r="E29" s="133" t="s">
        <v>88</v>
      </c>
      <c r="F29" s="133" t="str">
        <f>+VLOOKUP(A29,'Estado SCI'!$A$16:$I$59,9,0)</f>
        <v>Oportunidad de mejora</v>
      </c>
      <c r="G29" s="133">
        <f>+VLOOKUP(A29,'Estado SCI'!$A$16:$L$59,12,0)</f>
        <v>70.412000000000006</v>
      </c>
      <c r="H29" s="133">
        <f t="shared" si="0"/>
        <v>28</v>
      </c>
      <c r="I29" s="133" t="str">
        <f>+IF(VLOOKUP(A29,'Estado SCI'!$A$16:$G$59,7,0)="","",VLOOKUP(A29,'Estado SCI'!$A$16:$G$59,7,0))</f>
        <v>En proceso</v>
      </c>
      <c r="J29" s="134">
        <f t="shared" si="2"/>
        <v>0.5</v>
      </c>
      <c r="K29" s="135">
        <f t="shared" si="1"/>
        <v>0.7142857142857143</v>
      </c>
    </row>
    <row r="30" spans="1:11" ht="15" customHeight="1" x14ac:dyDescent="0.25">
      <c r="A30" s="133" t="s">
        <v>172</v>
      </c>
      <c r="B30" s="133" t="s">
        <v>86</v>
      </c>
      <c r="C30" s="133" t="s">
        <v>97</v>
      </c>
      <c r="D30" s="133" t="s">
        <v>36</v>
      </c>
      <c r="E30" s="133" t="s">
        <v>89</v>
      </c>
      <c r="F30" s="133" t="str">
        <f>+VLOOKUP(A30,'Estado SCI'!$A$16:$I$59,9,0)</f>
        <v>Mantenimiento del control</v>
      </c>
      <c r="G30" s="133">
        <f>+VLOOKUP(A30,'Estado SCI'!$A$16:$L$59,12,0)</f>
        <v>80.412300000000002</v>
      </c>
      <c r="H30" s="133">
        <f t="shared" si="0"/>
        <v>32</v>
      </c>
      <c r="I30" s="133" t="str">
        <f>+IF(VLOOKUP(A30,'Estado SCI'!$A$16:$G$59,7,0)="","",VLOOKUP(A30,'Estado SCI'!$A$16:$G$59,7,0))</f>
        <v>Si</v>
      </c>
      <c r="J30" s="134">
        <f t="shared" si="2"/>
        <v>1</v>
      </c>
      <c r="K30" s="135">
        <f t="shared" si="1"/>
        <v>0.7142857142857143</v>
      </c>
    </row>
    <row r="31" spans="1:11" ht="15.75" customHeight="1" x14ac:dyDescent="0.25">
      <c r="A31" s="133" t="s">
        <v>173</v>
      </c>
      <c r="B31" s="133" t="s">
        <v>86</v>
      </c>
      <c r="C31" s="133" t="s">
        <v>97</v>
      </c>
      <c r="D31" s="133" t="s">
        <v>39</v>
      </c>
      <c r="E31" s="133" t="s">
        <v>90</v>
      </c>
      <c r="F31" s="133" t="str">
        <f>+VLOOKUP(A31,'Estado SCI'!$A$16:$I$59,9,0)</f>
        <v>Mantenimiento del control</v>
      </c>
      <c r="G31" s="133">
        <f>+VLOOKUP(A31,'Estado SCI'!$A$16:$L$59,12,0)</f>
        <v>80.41234</v>
      </c>
      <c r="H31" s="133">
        <f t="shared" si="0"/>
        <v>33</v>
      </c>
      <c r="I31" s="133" t="str">
        <f>+IF(VLOOKUP(A31,'Estado SCI'!$A$16:$G$59,7,0)="","",VLOOKUP(A31,'Estado SCI'!$A$16:$G$59,7,0))</f>
        <v>Si</v>
      </c>
      <c r="J31" s="134">
        <f t="shared" si="2"/>
        <v>1</v>
      </c>
      <c r="K31" s="135">
        <f t="shared" si="1"/>
        <v>0.7142857142857143</v>
      </c>
    </row>
    <row r="32" spans="1:11" x14ac:dyDescent="0.25">
      <c r="A32" s="133" t="s">
        <v>174</v>
      </c>
      <c r="B32" s="133" t="s">
        <v>86</v>
      </c>
      <c r="C32" s="133" t="s">
        <v>103</v>
      </c>
      <c r="D32" s="133" t="s">
        <v>41</v>
      </c>
      <c r="E32" s="133" t="s">
        <v>91</v>
      </c>
      <c r="F32" s="133" t="str">
        <f>+VLOOKUP(A32,'Estado SCI'!$A$16:$I$59,9,0)</f>
        <v>Oportunidad de mejora</v>
      </c>
      <c r="G32" s="133">
        <f>+VLOOKUP(A32,'Estado SCI'!$A$16:$L$59,12,0)</f>
        <v>70.412345000000002</v>
      </c>
      <c r="H32" s="133">
        <f t="shared" si="0"/>
        <v>29</v>
      </c>
      <c r="I32" s="133" t="str">
        <f>+IF(VLOOKUP(A32,'Estado SCI'!$A$16:$G$59,7,0)="","",VLOOKUP(A32,'Estado SCI'!$A$16:$G$59,7,0))</f>
        <v>En proceso</v>
      </c>
      <c r="J32" s="134">
        <f t="shared" si="2"/>
        <v>0.5</v>
      </c>
      <c r="K32" s="135">
        <f t="shared" si="1"/>
        <v>0.7142857142857143</v>
      </c>
    </row>
    <row r="33" spans="1:11" x14ac:dyDescent="0.25">
      <c r="A33" s="133" t="s">
        <v>175</v>
      </c>
      <c r="B33" s="133" t="s">
        <v>86</v>
      </c>
      <c r="C33" s="133" t="s">
        <v>176</v>
      </c>
      <c r="D33" s="133" t="s">
        <v>43</v>
      </c>
      <c r="E33" s="133" t="s">
        <v>92</v>
      </c>
      <c r="F33" s="133" t="str">
        <f>+VLOOKUP(A33,'Estado SCI'!$A$16:$I$59,9,0)</f>
        <v>Oportunidad de mejora</v>
      </c>
      <c r="G33" s="133">
        <f>+VLOOKUP(A33,'Estado SCI'!$A$16:$L$59,12,0)</f>
        <v>70.412345599999995</v>
      </c>
      <c r="H33" s="133">
        <f t="shared" si="0"/>
        <v>30</v>
      </c>
      <c r="I33" s="133" t="str">
        <f>+IF(VLOOKUP(A33,'Estado SCI'!$A$16:$G$59,7,0)="","",VLOOKUP(A33,'Estado SCI'!$A$16:$G$59,7,0))</f>
        <v>En proceso</v>
      </c>
      <c r="J33" s="134">
        <f t="shared" si="2"/>
        <v>0.5</v>
      </c>
      <c r="K33" s="135">
        <f t="shared" si="1"/>
        <v>0.7142857142857143</v>
      </c>
    </row>
    <row r="34" spans="1:11" x14ac:dyDescent="0.25">
      <c r="A34" s="133" t="s">
        <v>177</v>
      </c>
      <c r="B34" s="133" t="s">
        <v>86</v>
      </c>
      <c r="C34" s="133" t="s">
        <v>176</v>
      </c>
      <c r="D34" s="133" t="s">
        <v>45</v>
      </c>
      <c r="E34" s="133" t="s">
        <v>93</v>
      </c>
      <c r="F34" s="133" t="str">
        <f>+VLOOKUP(A34,'Estado SCI'!$A$16:$I$59,9,0)</f>
        <v>Mantenimiento del control</v>
      </c>
      <c r="G34" s="133">
        <f>+VLOOKUP(A34,'Estado SCI'!$A$16:$L$59,12,0)</f>
        <v>80.412345669999993</v>
      </c>
      <c r="H34" s="133">
        <f t="shared" si="0"/>
        <v>34</v>
      </c>
      <c r="I34" s="133" t="str">
        <f>+IF(VLOOKUP(A34,'Estado SCI'!$A$16:$G$59,7,0)="","",VLOOKUP(A34,'Estado SCI'!$A$16:$G$59,7,0))</f>
        <v>Si</v>
      </c>
      <c r="J34" s="134">
        <f t="shared" si="2"/>
        <v>1</v>
      </c>
      <c r="K34" s="135">
        <f t="shared" si="1"/>
        <v>0.7142857142857143</v>
      </c>
    </row>
    <row r="35" spans="1:11" x14ac:dyDescent="0.25">
      <c r="A35" s="133" t="s">
        <v>178</v>
      </c>
      <c r="B35" s="133" t="s">
        <v>86</v>
      </c>
      <c r="C35" s="133" t="s">
        <v>176</v>
      </c>
      <c r="D35" s="133" t="s">
        <v>47</v>
      </c>
      <c r="E35" s="133" t="s">
        <v>94</v>
      </c>
      <c r="F35" s="133" t="str">
        <f>+VLOOKUP(A35,'Estado SCI'!$A$16:$I$59,9,0)</f>
        <v>Oportunidad de mejora</v>
      </c>
      <c r="G35" s="133">
        <f>+VLOOKUP(A35,'Estado SCI'!$A$16:$L$59,12,0)</f>
        <v>70.412345677999994</v>
      </c>
      <c r="H35" s="133">
        <f t="shared" si="0"/>
        <v>31</v>
      </c>
      <c r="I35" s="133" t="str">
        <f>+IF(VLOOKUP(A35,'Estado SCI'!$A$16:$G$59,7,0)="","",VLOOKUP(A35,'Estado SCI'!$A$16:$G$59,7,0))</f>
        <v>En proceso</v>
      </c>
      <c r="J35" s="134">
        <f t="shared" si="2"/>
        <v>0.5</v>
      </c>
      <c r="K35" s="135">
        <f t="shared" si="1"/>
        <v>0.7142857142857143</v>
      </c>
    </row>
    <row r="36" spans="1:11" x14ac:dyDescent="0.25">
      <c r="A36" s="133" t="s">
        <v>179</v>
      </c>
      <c r="B36" s="133" t="str">
        <f>+VLOOKUP(A36,'Estado SCI'!$A$16:$C$59,3,0)</f>
        <v>ACTIVIDADES DE MONITOREO</v>
      </c>
      <c r="C36" s="133" t="s">
        <v>176</v>
      </c>
      <c r="D36" s="133" t="s">
        <v>34</v>
      </c>
      <c r="E36" s="133" t="s">
        <v>98</v>
      </c>
      <c r="F36" s="133" t="str">
        <f>+VLOOKUP(A36,'Estado SCI'!$A$16:$I$59,9,0)</f>
        <v>Mantenimiento del control</v>
      </c>
      <c r="G36" s="133">
        <f>+VLOOKUP(A36,'Estado SCI'!$A$16:$L$59,12,0)</f>
        <v>120.851</v>
      </c>
      <c r="H36" s="133">
        <f t="shared" si="0"/>
        <v>41</v>
      </c>
      <c r="I36" s="133" t="str">
        <f>+IF(VLOOKUP(A36,'Estado SCI'!$A$16:$G$59,7,0)="","",VLOOKUP(A36,'Estado SCI'!$A$16:$G$59,7,0))</f>
        <v>Si</v>
      </c>
      <c r="J36" s="134">
        <f t="shared" si="2"/>
        <v>1</v>
      </c>
      <c r="K36" s="135">
        <f t="shared" si="1"/>
        <v>0.7</v>
      </c>
    </row>
    <row r="37" spans="1:11" x14ac:dyDescent="0.25">
      <c r="A37" s="133" t="s">
        <v>180</v>
      </c>
      <c r="B37" s="133" t="s">
        <v>96</v>
      </c>
      <c r="C37" s="133" t="s">
        <v>176</v>
      </c>
      <c r="D37" s="133" t="s">
        <v>41</v>
      </c>
      <c r="E37" s="133" t="s">
        <v>99</v>
      </c>
      <c r="F37" s="133" t="str">
        <f>+VLOOKUP(A37,'Estado SCI'!$A$16:$I$59,9,0)</f>
        <v>Oportunidad de mejora</v>
      </c>
      <c r="G37" s="133">
        <f>+VLOOKUP(A37,'Estado SCI'!$A$16:$L$59,12,0)</f>
        <v>100.85120000000001</v>
      </c>
      <c r="H37" s="133">
        <f t="shared" si="0"/>
        <v>35</v>
      </c>
      <c r="I37" s="133" t="str">
        <f>+IF(VLOOKUP(A37,'Estado SCI'!$A$16:$G$59,7,0)="","",VLOOKUP(A37,'Estado SCI'!$A$16:$G$59,7,0))</f>
        <v>En proceso</v>
      </c>
      <c r="J37" s="134">
        <f t="shared" si="2"/>
        <v>0.5</v>
      </c>
      <c r="K37" s="135">
        <f t="shared" si="1"/>
        <v>0.7</v>
      </c>
    </row>
    <row r="38" spans="1:11" x14ac:dyDescent="0.25">
      <c r="A38" s="133" t="s">
        <v>181</v>
      </c>
      <c r="B38" s="133" t="s">
        <v>96</v>
      </c>
      <c r="C38" s="133" t="s">
        <v>67</v>
      </c>
      <c r="D38" s="133" t="s">
        <v>45</v>
      </c>
      <c r="E38" s="133" t="s">
        <v>100</v>
      </c>
      <c r="F38" s="133" t="str">
        <f>+VLOOKUP(A38,'Estado SCI'!$A$16:$I$59,9,0)</f>
        <v>Mantenimiento del control</v>
      </c>
      <c r="G38" s="133">
        <f>+VLOOKUP(A38,'Estado SCI'!$A$16:$L$59,12,0)</f>
        <v>120.85123</v>
      </c>
      <c r="H38" s="133">
        <f t="shared" si="0"/>
        <v>42</v>
      </c>
      <c r="I38" s="133" t="str">
        <f>+IF(VLOOKUP(A38,'Estado SCI'!$A$16:$G$59,7,0)="","",VLOOKUP(A38,'Estado SCI'!$A$16:$G$59,7,0))</f>
        <v>Si</v>
      </c>
      <c r="J38" s="134">
        <f t="shared" si="2"/>
        <v>1</v>
      </c>
      <c r="K38" s="135">
        <f t="shared" si="1"/>
        <v>0.7</v>
      </c>
    </row>
    <row r="39" spans="1:11" x14ac:dyDescent="0.25">
      <c r="A39" s="133" t="s">
        <v>182</v>
      </c>
      <c r="B39" s="133" t="s">
        <v>96</v>
      </c>
      <c r="C39" s="133" t="s">
        <v>67</v>
      </c>
      <c r="D39" s="133" t="s">
        <v>47</v>
      </c>
      <c r="E39" s="133" t="s">
        <v>101</v>
      </c>
      <c r="F39" s="133" t="str">
        <f>+VLOOKUP(A39,'Estado SCI'!$A$16:$I$59,9,0)</f>
        <v>Mantenimiento del control</v>
      </c>
      <c r="G39" s="133">
        <f>+VLOOKUP(A39,'Estado SCI'!$A$16:$L$59,12,0)</f>
        <v>120.85123400000001</v>
      </c>
      <c r="H39" s="133">
        <f t="shared" si="0"/>
        <v>43</v>
      </c>
      <c r="I39" s="133" t="str">
        <f>+IF(VLOOKUP(A39,'Estado SCI'!$A$16:$G$59,7,0)="","",VLOOKUP(A39,'Estado SCI'!$A$16:$G$59,7,0))</f>
        <v>Si</v>
      </c>
      <c r="J39" s="134">
        <f t="shared" si="2"/>
        <v>1</v>
      </c>
      <c r="K39" s="135">
        <f t="shared" si="1"/>
        <v>0.7</v>
      </c>
    </row>
    <row r="40" spans="1:11" x14ac:dyDescent="0.25">
      <c r="A40" s="133" t="s">
        <v>183</v>
      </c>
      <c r="B40" s="133" t="s">
        <v>96</v>
      </c>
      <c r="C40" s="133" t="s">
        <v>67</v>
      </c>
      <c r="D40" s="133" t="s">
        <v>49</v>
      </c>
      <c r="E40" s="133" t="s">
        <v>104</v>
      </c>
      <c r="F40" s="133" t="str">
        <f>+VLOOKUP(A40,'Estado SCI'!$A$16:$I$59,9,0)</f>
        <v>Mantenimiento del control</v>
      </c>
      <c r="G40" s="133">
        <f>+VLOOKUP(A40,'Estado SCI'!$A$16:$L$59,12,0)</f>
        <v>120.8512345</v>
      </c>
      <c r="H40" s="133">
        <f t="shared" si="0"/>
        <v>44</v>
      </c>
      <c r="I40" s="133" t="str">
        <f>+IF(VLOOKUP(A40,'Estado SCI'!$A$16:$G$59,7,0)="","",VLOOKUP(A40,'Estado SCI'!$A$16:$G$59,7,0))</f>
        <v>Si</v>
      </c>
      <c r="J40" s="134">
        <f t="shared" si="2"/>
        <v>1</v>
      </c>
      <c r="K40" s="135">
        <f t="shared" si="1"/>
        <v>0.7</v>
      </c>
    </row>
    <row r="41" spans="1:11" x14ac:dyDescent="0.25">
      <c r="A41" s="133" t="s">
        <v>184</v>
      </c>
      <c r="B41" s="133" t="s">
        <v>96</v>
      </c>
      <c r="C41" s="133" t="s">
        <v>67</v>
      </c>
      <c r="D41" s="133" t="s">
        <v>34</v>
      </c>
      <c r="E41" s="133" t="s">
        <v>107</v>
      </c>
      <c r="F41" s="133" t="str">
        <f>+VLOOKUP(A41,'Estado SCI'!$A$16:$I$59,9,0)</f>
        <v>Oportunidad de mejora</v>
      </c>
      <c r="G41" s="133">
        <f>+VLOOKUP(A41,'Estado SCI'!$A$16:$L$59,12,0)</f>
        <v>100.85123455999999</v>
      </c>
      <c r="H41" s="133">
        <f t="shared" si="0"/>
        <v>36</v>
      </c>
      <c r="I41" s="133" t="str">
        <f>+IF(VLOOKUP(A41,'Estado SCI'!$A$16:$G$59,7,0)="","",VLOOKUP(A41,'Estado SCI'!$A$16:$G$59,7,0))</f>
        <v>En proceso</v>
      </c>
      <c r="J41" s="134">
        <f t="shared" si="2"/>
        <v>0.5</v>
      </c>
      <c r="K41" s="135">
        <f t="shared" si="1"/>
        <v>0.7</v>
      </c>
    </row>
    <row r="42" spans="1:11" x14ac:dyDescent="0.25">
      <c r="A42" s="133" t="s">
        <v>185</v>
      </c>
      <c r="B42" s="133" t="s">
        <v>96</v>
      </c>
      <c r="C42" s="133" t="s">
        <v>72</v>
      </c>
      <c r="D42" s="133" t="s">
        <v>36</v>
      </c>
      <c r="E42" s="133" t="s">
        <v>108</v>
      </c>
      <c r="F42" s="133" t="str">
        <f>+VLOOKUP(A42,'Estado SCI'!$A$16:$I$59,9,0)</f>
        <v>Oportunidad de mejora</v>
      </c>
      <c r="G42" s="133">
        <f>+VLOOKUP(A42,'Estado SCI'!$A$16:$L$59,12,0)</f>
        <v>100.85123456700001</v>
      </c>
      <c r="H42" s="133">
        <f t="shared" si="0"/>
        <v>37</v>
      </c>
      <c r="I42" s="133" t="str">
        <f>+IF(VLOOKUP(A42,'Estado SCI'!$A$16:$G$59,7,0)="","",VLOOKUP(A42,'Estado SCI'!$A$16:$G$59,7,0))</f>
        <v>En proceso</v>
      </c>
      <c r="J42" s="134">
        <f t="shared" si="2"/>
        <v>0.5</v>
      </c>
      <c r="K42" s="135">
        <f t="shared" si="1"/>
        <v>0.7</v>
      </c>
    </row>
    <row r="43" spans="1:11" x14ac:dyDescent="0.25">
      <c r="A43" s="133" t="s">
        <v>186</v>
      </c>
      <c r="B43" s="133" t="s">
        <v>96</v>
      </c>
      <c r="C43" s="133" t="s">
        <v>72</v>
      </c>
      <c r="D43" s="133" t="s">
        <v>39</v>
      </c>
      <c r="E43" s="133" t="s">
        <v>109</v>
      </c>
      <c r="F43" s="133" t="str">
        <f>+VLOOKUP(A43,'Estado SCI'!$A$16:$I$59,9,0)</f>
        <v>Oportunidad de mejora</v>
      </c>
      <c r="G43" s="133">
        <f>+VLOOKUP(A43,'Estado SCI'!$A$16:$L$59,12,0)</f>
        <v>100.85123456780001</v>
      </c>
      <c r="H43" s="133">
        <f t="shared" si="0"/>
        <v>38</v>
      </c>
      <c r="I43" s="133" t="str">
        <f>+IF(VLOOKUP(A43,'Estado SCI'!$A$16:$G$59,7,0)="","",VLOOKUP(A43,'Estado SCI'!$A$16:$G$59,7,0))</f>
        <v>En proceso</v>
      </c>
      <c r="J43" s="134">
        <f t="shared" si="2"/>
        <v>0.5</v>
      </c>
      <c r="K43" s="135">
        <f t="shared" si="1"/>
        <v>0.7</v>
      </c>
    </row>
    <row r="44" spans="1:11" x14ac:dyDescent="0.25">
      <c r="A44" s="133" t="s">
        <v>187</v>
      </c>
      <c r="B44" s="133" t="s">
        <v>96</v>
      </c>
      <c r="C44" s="133" t="s">
        <v>72</v>
      </c>
      <c r="D44" s="133" t="s">
        <v>41</v>
      </c>
      <c r="E44" s="133" t="s">
        <v>110</v>
      </c>
      <c r="F44" s="133" t="str">
        <f>+VLOOKUP(A44,'Estado SCI'!$A$16:$I$59,9,0)</f>
        <v>Oportunidad de mejora</v>
      </c>
      <c r="G44" s="133">
        <f>+VLOOKUP(A44,'Estado SCI'!$A$16:$L$59,12,0)</f>
        <v>100.85123456789</v>
      </c>
      <c r="H44" s="133">
        <f t="shared" si="0"/>
        <v>39</v>
      </c>
      <c r="I44" s="133" t="str">
        <f>+IF(VLOOKUP(A44,'Estado SCI'!$A$16:$G$59,7,0)="","",VLOOKUP(A44,'Estado SCI'!$A$16:$G$59,7,0))</f>
        <v>En proceso</v>
      </c>
      <c r="J44" s="134">
        <f t="shared" si="2"/>
        <v>0.5</v>
      </c>
      <c r="K44" s="135">
        <f t="shared" si="1"/>
        <v>0.7</v>
      </c>
    </row>
    <row r="45" spans="1:11" x14ac:dyDescent="0.25">
      <c r="A45" s="133" t="s">
        <v>188</v>
      </c>
      <c r="B45" s="133" t="s">
        <v>96</v>
      </c>
      <c r="C45" s="133" t="s">
        <v>72</v>
      </c>
      <c r="D45" s="133" t="s">
        <v>43</v>
      </c>
      <c r="E45" s="133" t="s">
        <v>111</v>
      </c>
      <c r="F45" s="133" t="str">
        <f>+VLOOKUP(A45,'Estado SCI'!$A$16:$I$59,9,0)</f>
        <v>Oportunidad de mejora</v>
      </c>
      <c r="G45" s="133">
        <f>+VLOOKUP(A45,'Estado SCI'!$A$16:$L$59,12,0)</f>
        <v>100.851234567891</v>
      </c>
      <c r="H45" s="133">
        <f t="shared" si="0"/>
        <v>40</v>
      </c>
      <c r="I45" s="133" t="str">
        <f>+IF(VLOOKUP(A45,'Estado SCI'!$A$16:$G$59,7,0)="","",VLOOKUP(A45,'Estado SCI'!$A$16:$G$59,7,0))</f>
        <v>En proceso</v>
      </c>
      <c r="J45" s="134">
        <f t="shared" si="2"/>
        <v>0.5</v>
      </c>
      <c r="K45" s="135">
        <f t="shared" si="1"/>
        <v>0.7</v>
      </c>
    </row>
  </sheetData>
  <sheetProtection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Control Interno</cp:lastModifiedBy>
  <cp:revision/>
  <dcterms:created xsi:type="dcterms:W3CDTF">2020-04-28T13:58:09Z</dcterms:created>
  <dcterms:modified xsi:type="dcterms:W3CDTF">2022-07-25T14:29:24Z</dcterms:modified>
  <cp:category/>
  <cp:contentStatus/>
</cp:coreProperties>
</file>