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heckCompatibility="1" defaultThemeVersion="124226"/>
  <mc:AlternateContent xmlns:mc="http://schemas.openxmlformats.org/markup-compatibility/2006">
    <mc:Choice Requires="x15">
      <x15ac:absPath xmlns:x15ac="http://schemas.microsoft.com/office/spreadsheetml/2010/11/ac" url="D:\Web\ci\2021\"/>
    </mc:Choice>
  </mc:AlternateContent>
  <xr:revisionPtr revIDLastSave="0" documentId="13_ncr:1_{491C730A-023D-4A23-AB1E-0FDB5FE261FB}" xr6:coauthVersionLast="46" xr6:coauthVersionMax="46" xr10:uidLastSave="{00000000-0000-0000-0000-000000000000}"/>
  <bookViews>
    <workbookView xWindow="-120" yWindow="-120" windowWidth="29040" windowHeight="15840" firstSheet="1"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16" i="6"/>
  <c r="H6" i="6"/>
  <c r="H45" i="6"/>
  <c r="H26" i="6"/>
  <c r="H7" i="6"/>
  <c r="H21" i="6"/>
  <c r="H33" i="6"/>
  <c r="H14" i="6"/>
  <c r="H9" i="6"/>
  <c r="H28" i="6"/>
  <c r="H44" i="6"/>
  <c r="H34" i="6"/>
  <c r="H35" i="6"/>
  <c r="H30" i="6"/>
  <c r="H13" i="6"/>
  <c r="H25" i="6"/>
  <c r="H23" i="6"/>
  <c r="H2" i="6"/>
  <c r="H32" i="6"/>
  <c r="H20" i="6"/>
  <c r="H3" i="6"/>
  <c r="H42" i="6"/>
  <c r="H39" i="6"/>
  <c r="H4" i="6"/>
  <c r="H41" i="6"/>
  <c r="H8" i="6"/>
  <c r="H27" i="6"/>
  <c r="H17" i="6"/>
  <c r="H19" i="6"/>
  <c r="H22" i="6"/>
  <c r="H15" i="6"/>
  <c r="H38" i="6"/>
  <c r="H24" i="6"/>
  <c r="H18" i="6"/>
  <c r="H37" i="6"/>
  <c r="H29" i="6"/>
  <c r="H11" i="6"/>
  <c r="H5" i="6"/>
  <c r="H12" i="6"/>
  <c r="H10" i="6"/>
  <c r="H36" i="6"/>
  <c r="H31" i="6"/>
  <c r="H43" i="6"/>
  <c r="H40"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<sst xmlns="http://schemas.openxmlformats.org/spreadsheetml/2006/main" count="514" uniqueCount="243">
  <si>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</si>
  <si>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</si>
  <si>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</si>
  <si>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</si>
  <si>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</si>
  <si>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</si>
  <si>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</si>
  <si>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</si>
  <si>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</si>
  <si>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</si>
  <si>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</si>
  <si>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</si>
  <si>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</si>
  <si>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</si>
  <si>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</si>
  <si>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</si>
  <si>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</si>
  <si>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</si>
  <si>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</si>
  <si>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</si>
  <si>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</si>
  <si>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</si>
  <si>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</si>
  <si>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</si>
  <si>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</si>
  <si>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</si>
  <si>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</si>
  <si>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</si>
  <si>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</si>
  <si>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</si>
  <si>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</si>
  <si>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</si>
  <si>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</si>
  <si>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</si>
  <si>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</si>
  <si>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</si>
  <si>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</si>
  <si>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</si>
  <si>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</si>
  <si>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</si>
  <si>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</si>
  <si>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</si>
  <si>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</si>
  <si>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</si>
  <si>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</si>
  <si>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</si>
  <si>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</si>
  <si>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</si>
  <si>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</si>
  <si>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</si>
  <si>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</si>
  <si>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</si>
  <si>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</si>
  <si>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</si>
  <si>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</si>
  <si>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</si>
  <si>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</si>
  <si>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</si>
  <si>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</si>
  <si>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</si>
  <si>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</si>
  <si>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</si>
  <si>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</si>
  <si>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</si>
  <si>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</si>
  <si>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</si>
  <si>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</si>
  <si>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</si>
  <si>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</si>
  <si>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</si>
  <si>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</si>
  <si>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</si>
  <si>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</si>
  <si>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</si>
  <si>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</si>
  <si>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</si>
  <si>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</si>
  <si>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</si>
  <si>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</si>
  <si>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</si>
  <si>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</si>
  <si>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</si>
  <si>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</si>
  <si>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</si>
  <si>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</si>
  <si>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</si>
  <si>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</si>
  <si>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</si>
  <si>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</si>
  <si>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</si>
  <si>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</si>
  <si>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</si>
  <si>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</si>
  <si>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</si>
  <si>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</si>
  <si>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</si>
  <si>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</si>
  <si>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</si>
  <si>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</si>
  <si>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</si>
  <si>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</si>
  <si>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</si>
  <si>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</si>
  <si>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</si>
  <si>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</si>
  <si>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</si>
  <si>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</si>
  <si>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</si>
  <si>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</si>
  <si>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</si>
  <si>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</si>
  <si>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</si>
  <si>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</si>
  <si>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</si>
  <si>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</si>
  <si>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</si>
  <si>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</si>
  <si>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</si>
  <si>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</si>
  <si>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</si>
  <si>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</si>
  <si>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</si>
  <si>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</si>
  <si>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</si>
  <si>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</si>
  <si>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</si>
  <si>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</si>
  <si>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</si>
  <si>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</si>
  <si>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</si>
  <si>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</si>
  <si>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</si>
  <si>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</si>
  <si>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</si>
  <si>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</si>
  <si>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</si>
  <si>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</si>
  <si>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</si>
  <si>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</si>
  <si>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</si>
  <si>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</si>
  <si>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</si>
  <si>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</si>
  <si>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</si>
  <si>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</si>
  <si>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</si>
  <si>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</si>
  <si>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</si>
  <si>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</si>
  <si>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</si>
  <si>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</si>
  <si>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</si>
  <si>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</si>
  <si>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</si>
  <si>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</si>
  <si>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</si>
  <si>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</si>
  <si>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</si>
  <si>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</si>
  <si>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</si>
  <si>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</si>
  <si>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</si>
  <si>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</si>
  <si>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</si>
  <si>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</si>
  <si>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</si>
  <si>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</si>
  <si>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</si>
  <si>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</si>
  <si>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</si>
  <si>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</si>
  <si>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</si>
  <si>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</si>
  <si>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</si>
  <si>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</si>
  <si>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</si>
  <si>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</si>
  <si>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</si>
  <si>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</si>
  <si>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</si>
  <si>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</si>
  <si>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</si>
  <si>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</si>
  <si>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</si>
  <si>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</si>
  <si>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</si>
  <si>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</si>
  <si>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</si>
  <si>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</si>
  <si>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</si>
  <si>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Acto Administrativo - Resolucion No. 101 de 2020</t>
  </si>
  <si>
    <t>Acto Administrativo - Resolucion No. 218  de 2020</t>
  </si>
  <si>
    <t>Acto Administrativo - Resolucion No. 031 de 2020</t>
  </si>
  <si>
    <t>Acto Administrativo - Resolucion No. 238 de 2019</t>
  </si>
  <si>
    <t>Ato Administrativo - Reesolucion No. 011 de 2020</t>
  </si>
  <si>
    <t>Adoptados a través de actos administrativos, producto de las recomendaciones señaladas en linformes de auditoria, generados por la oficina de control interno</t>
  </si>
  <si>
    <t>La entidad adopto Procesos intenos en la dependencia de talento humano de conformidad con la Ley 909 de 2004 y  con la normatividad vigente,</t>
  </si>
  <si>
    <t>La entidad adopto programa de inducción y reindución, liderado por la dependencia de talento humano, observando los lineamientos DAFP.</t>
  </si>
  <si>
    <t>La entidad adopto a traves de acto administrativo el manual tipo evaluacion empleados de carrera administrativas - CNSC,</t>
  </si>
  <si>
    <t>La entidad se encuentra ajustando el, proceso de desvinculacion de servidores publicos conforme a la CPC,</t>
  </si>
  <si>
    <t>La entidad tiene publicado en la pagina web  los  mecanismos de rendicion de cuenta a la ciudadnia.</t>
  </si>
  <si>
    <t>Dentro  la oportunidade de  los terminos de Ley</t>
  </si>
  <si>
    <t>La entidad elaboro y analizo la matriz Dofa</t>
  </si>
  <si>
    <t>La entidad adopto su mapa de riesgo institucional, conforme a los lineamientos DAFP</t>
  </si>
  <si>
    <t>La entidad formulo su mapa de riesgo de corrupcion, el cual se encuentra publicado en la pagina Web.</t>
  </si>
  <si>
    <t>La entidad se encuentra realizando ajustes al mapa de riego de corrupcion, relacionados con la tecnologia de información y comunicación,</t>
  </si>
  <si>
    <t>En los respectivos comites institucionales adoptados en la entidad, conforme a los lineamientos impartidos por el DAFP.</t>
  </si>
  <si>
    <t>A través de la evaluacion al plan anticorruoción y de atencion al ciudadano, informes publicados en la pagina web,</t>
  </si>
  <si>
    <t>En los comites instutucionale adoptados en la entidad.</t>
  </si>
  <si>
    <t>Atendiendo las recomendación los lideres de procesos implenetan las acciones de mejora</t>
  </si>
  <si>
    <t>En las sesiones de comité de gestión y desempeño y en las del comité coordinador de control internose definen acciones de mejora</t>
  </si>
  <si>
    <t>La oficina de control interno recomienda a los lideres de procesos estrategicos, misionales, de apoyo y de evaluacion fortalecer la administracion de los mapas de riesgo para mitigarlos.</t>
  </si>
  <si>
    <t>Informes de evaluacion al plan anticorrupcion y de atencion al ciudadano - componente: Mapa de riesgo de corrupción</t>
  </si>
  <si>
    <t>evaluaciones trimestrales, por dependencias  realizadas por la oficina de planeacion,</t>
  </si>
  <si>
    <t>Mapa de riesgo de corrupcion, publicado en la pagina web</t>
  </si>
  <si>
    <t>Adoptado a través de acto administrativo, publicado en la pagina Web - Link: transparencia</t>
  </si>
  <si>
    <t>ESE. HOSPITAL SAN JERONIMO DE MONTERIA</t>
  </si>
  <si>
    <t>II SEMESTRE 2020</t>
  </si>
  <si>
    <t>Politica de comunicación adoptada</t>
  </si>
  <si>
    <t>Pagina Web, Buzones, Correo electronico y Redes sociales</t>
  </si>
  <si>
    <t>El Jefe de Control Interno de la entidad, hace parte del comité departamental de auditoria</t>
  </si>
  <si>
    <t>EL  MODELO ESTNDAR DE CONTROL INTERNO  EN LA ESE ACTUALMENTE SE EN CUENTRA EN PROCESO DE FORTALECIMIENTO,AJUSTES Y ACTUALIZACION DIRIGIDA A CONTROLAR LA PLNEACION, GESTION, EVALUACION Y SEGUIMIENTO  EN  LA  ENTIDAD, EN ARMONIA CONEL CICLO DE LA MEJORA CONTINUA (CICLO PHVA) Y EL DESARROLLO DE LAS POLITICAS DE GESTION Y DESEMPEÑO - MIPG - MECI;  FACILITANDO ASI  EL DESARROLLO DEL SISTEMA DE CONROL INTERNO,CONFORME A LOS LINEAMIENTOS IMPARTIDOS POR EL DAFP.  ESTA  ESTRUCTURA DE CONTROL CONTEMPLO 5 COMPONENTES (AMBIENTE DE CONTROL, EVALUACION DEL RIESGO, ACTIVIDADES DE CONTROL, INFORMACION Y COMUNICACION Y ACTIVIDADES DE MONITOREO) LOS CUALES EN LA ENTIDAD, SE ENCUENTRAN EN PROCESO DE ARTICULACION CON LA LINEA ESTRATEGICA Y  CON LAS 3 LINEAS DE DEFENSA DEL MECI.</t>
  </si>
  <si>
    <t>EL PROPOSITO DEL MECI  -  MODELO ESTNDAR DE CONTROL INTERNO ES PROPORCIONAR UNA SERIE DE DIRECTRICES DIRIGIDAS A CONTROLAR LA PLNEACION, GESTION, EVALUACION Y SEGUIMIENTO A LA  ENTIDAD, FACILITANDO EL DESARROLLO DEL SISTEMA DE CONROLINTERNO. ESTA  ESTRUCTURA  PERMITE EN LA ENTIDAD IDENTIFICAR CLARAMENTE LOS ROLES Y RESPONSABILIDADES DE QUIENES LIDERAN Y PARTICIPAN ACTIVAMENTE EN LOS PROCESOS ESTRATEGICOS, MISIONALES, DE APOYO Y DE EVALUACION A LA GESTION; NECESARIOS PARA DAR CUMPLIMIENTO A LAS METAS Y OBJETIVOS INSTITUCIONALES SEÑALADOS EN SU PLATAFORMA ESTRATEGICA ADOPTADA EN LA ESE,HSJM.</t>
  </si>
  <si>
    <t>LA ENTIDA  DE CONFORMIDAD CON LOS DECRETO 1499. Y  648, EXPEDIDOS POR EL DAFP; ADOPTO EL MODELO INTEGRAL DE PLANEACION Y GESTION - MIPG  A TRAVES DEL ACTO ADMINISTRATIVO -  RESOLUCION No.101 DEL 17 DE MARZO DE 2017; EL CUAL SEENCUENTRA PUBLICADO EN LAPAGINA WEB EN EL LINK: TRANPARENCIA Y SEÑALA EN SU ARTICULO 10, NUMERAL 4." TERCERA LINEA DE DEFENSA: CONFORMADA POR LA OFICINA DE CONTROL INTERNO O QUIEN HAGA SUS VECES, RESPONSABLE DE REALIZAR LA EVALUACION INDEPENDIENTE SOBRE LA EFICACIA DE LA GESION Y DESEMPEÑO INSTITUCIONAL, LA GESTION DEL RIESGO Y LOS CONTROLES DEL PROCESOS".</t>
  </si>
  <si>
    <r>
      <rPr>
        <sz val="16"/>
        <color rgb="FFFF0000"/>
        <rFont val="Arial"/>
        <family val="2"/>
      </rPr>
      <t xml:space="preserve">DEBILIDAD. </t>
    </r>
    <r>
      <rPr>
        <sz val="16"/>
        <color theme="1"/>
        <rFont val="Arial"/>
        <family val="2"/>
      </rPr>
      <t xml:space="preserve">LA ENTIDAD DEBE CONTAR CON UN PLAN DE MEJORAMIENTO POR PROCESOS, QUE CUENTE CON ACCIONES QUE RESPONDA A LAS RECOMENDACIONES DE LA OFC Y QUE PERMITA MEJORAR LA EJECUCION DE LOS PROCESOS. </t>
    </r>
    <r>
      <rPr>
        <b/>
        <sz val="16"/>
        <color rgb="FF00B0F0"/>
        <rFont val="Arial"/>
        <family val="2"/>
      </rPr>
      <t>FORTALEZAS:</t>
    </r>
    <r>
      <rPr>
        <sz val="16"/>
        <color theme="1"/>
        <rFont val="Arial"/>
        <family val="2"/>
      </rPr>
      <t>:LA ESE CUENTA CON UN PLAN ANUAL DE AUDITORIA APROBADO EN EL COMITE COORDINADOR DE CONTROL INTERNO EL CUAL SE EJECUTA DE MANERA CORRECTA.</t>
    </r>
  </si>
  <si>
    <r>
      <rPr>
        <sz val="16"/>
        <color rgb="FFFF0000"/>
        <rFont val="Arial"/>
        <family val="2"/>
      </rPr>
      <t>DEBILIDAD:</t>
    </r>
    <r>
      <rPr>
        <sz val="16"/>
        <color theme="1"/>
        <rFont val="Arial"/>
        <family val="2"/>
      </rPr>
      <t xml:space="preserve"> LA ESE DEBE CONTAR CON UNA ALTA DIRECCION COMPROMETIDA CON EL FORTALECIMIENTO DEL SISTEMA DE CONTROL INTERNO MEDIANTE POLITICAS DE OPERACIÓN,ESPECIALMENTE LA RELACIONADA CON EL MANEJO DE RIESGOS. </t>
    </r>
    <r>
      <rPr>
        <b/>
        <sz val="16"/>
        <color rgb="FF00B0F0"/>
        <rFont val="Arial"/>
        <family val="2"/>
      </rPr>
      <t>FORTALEZAS:</t>
    </r>
    <r>
      <rPr>
        <b/>
        <sz val="16"/>
        <color theme="1"/>
        <rFont val="Arial"/>
        <family val="2"/>
      </rPr>
      <t>LA ESE EN ELPROCESO DE AJUSTES TIENE EN CUENTA LOS PLANES ESTRATEGICOS DE LA ENTIDAD PARA LOS AJUSTES A LA POLITICA DE ADMINISTRACION DE RIESGOS SU OBJETIVO Y ALCANCE.</t>
    </r>
  </si>
  <si>
    <r>
      <rPr>
        <sz val="16"/>
        <color rgb="FFFF0000"/>
        <rFont val="Arial"/>
        <family val="2"/>
      </rPr>
      <t>DEBILIDADES.</t>
    </r>
    <r>
      <rPr>
        <sz val="16"/>
        <rFont val="Arial"/>
        <family val="2"/>
      </rPr>
      <t xml:space="preserve"> LA ENTIDAD DEBE FORTALECER LAS POLITICSA DE OPERACIÓN Y ESTABLECER LAS INTERRELACIONES ENTRE LOS PROCESOS LAS UALES REQUIEREN DE MEJORA CONTINUA PARA OPTIMIZAR SU TRAZABILIDAD. SE REQUIERE CONTAR CON PROCESOS DE GESTION DEL TALENTO HUMANO EN VIAS DE MEJORA MEDIANTE PROGRAMAS DE INDUCCION, RE-INDUCCION, PLANES DE INCENTIVOS Y EL PLAN INSTITUCIOAL DE FORMACION Y CAPACITACION ESTRUCTURADO FORMALMENTE.                     </t>
    </r>
    <r>
      <rPr>
        <b/>
        <sz val="16"/>
        <color rgb="FF00B0F0"/>
        <rFont val="Arial"/>
        <family val="2"/>
      </rPr>
      <t xml:space="preserve">FORTALEZAS: </t>
    </r>
    <r>
      <rPr>
        <b/>
        <sz val="16"/>
        <color theme="1"/>
        <rFont val="Arial"/>
        <family val="2"/>
      </rPr>
      <t>LA ENTIDAD POSEE UNA ALTA DIRECCION QUE PROPENDE POR ELCUMPLIIENTO DE LA MISION Y LA VISION FACILITANDO QUE LOS SERVIDORES ENTIENDAN SU PAPEL EN LA EJECUCION DE SUS PROCESOS. ADICIONALMENTE SE ENCUANTRA ADOPTADA LA ESTRUCTURA ORGANIZACIONAL Y SE ENCUENTRAN OPERADO -ACTIVOS LOS COMITES INTITUCIONALES DE CONTROL INTERNO Y DE GESTION Y DESEMPEÑO.</t>
    </r>
  </si>
  <si>
    <r>
      <t xml:space="preserve">DEBILIDADES: </t>
    </r>
    <r>
      <rPr>
        <sz val="16"/>
        <color theme="1"/>
        <rFont val="Arial"/>
        <family val="2"/>
      </rPr>
      <t xml:space="preserve">LA ENTIDAD DEBE FORTALECER SU POLITICA DE GESTION DOCUMENTAL ESPECIALMENTE APLICAR LOS LINEAMIENTOS NORMATIVOS PARA LA GESTION DOCUMENTAL. (CONTAR CON TABLAS DE RETENCION DOCUMENTAL) Y DEBE FORTALECER EL AREA DE ATENCION AL CIUDADANO. </t>
    </r>
    <r>
      <rPr>
        <b/>
        <sz val="16"/>
        <color rgb="FF00B0F0"/>
        <rFont val="Arial"/>
        <family val="2"/>
      </rPr>
      <t>FORTALEZAS.</t>
    </r>
    <r>
      <rPr>
        <b/>
        <sz val="16"/>
        <color theme="1"/>
        <rFont val="Arial"/>
        <family val="2"/>
      </rPr>
      <t>LA ESE REALIZA LOS AJUSTES INSTITUCIONALES NECESARIOS PARA DAR CUMPLIMIENTO A LA LEY DE TRANSPARENCIA Y ACCESO A LA INFORMACION - PUBLICADA EN LA PAGINA WEB.</t>
    </r>
  </si>
  <si>
    <r>
      <rPr>
        <sz val="16"/>
        <color rgb="FFFF0000"/>
        <rFont val="Arial"/>
        <family val="2"/>
      </rPr>
      <t xml:space="preserve">DEBILIDADES: </t>
    </r>
    <r>
      <rPr>
        <sz val="16"/>
        <color theme="1"/>
        <rFont val="Arial"/>
        <family val="2"/>
      </rPr>
      <t xml:space="preserve">LOS LIDERES DE PROCESOS DEBEN OBSERVAR LOS  NIVELES DE AUTORIDAD  Y NIVEL DE RESPONSABILIDAD ADOPTADOS EN LA ENTIDAD; PARA LA EJECUCION DE LAS DIFERENTES ACTIVIDADES SEÑALADAS EN OS PROCESOS. </t>
    </r>
    <r>
      <rPr>
        <b/>
        <sz val="16"/>
        <color rgb="FF00B0F0"/>
        <rFont val="Arial"/>
        <family val="2"/>
      </rPr>
      <t xml:space="preserve">FORTALEZAS: </t>
    </r>
    <r>
      <rPr>
        <b/>
        <sz val="16"/>
        <color theme="1"/>
        <rFont val="Arial"/>
        <family val="2"/>
      </rPr>
      <t>EL JEFE DE CONTROLINTERNO HA PODIDO EVIDENCIAR EN LA ENTIDA LOS PROBLEMAS (RIESGOS) QUE  AFECTA EL CUMPLIIENTO DE  SUS METAS  Y OBJETIVOS INSTITUCIONALES; SEÑALADOS EN LAS EVALUACIONES INDEPENDIENTE REALIZADAS A LA GESTION DE LA ADMINISTRACION; A TRAVES DE LAS RESPECTIVAS RECOMENDACIONES SEÑALADAS; EN PRO DE LA MEJORA CONTINUA Y DEL FORTALECIMIETO AL SISTEMA DE CONTROL INTERNO FRENTA A SU FUCION PREVENTIVA EN LA ESE.HSJM.</t>
    </r>
  </si>
  <si>
    <t>Pagina web, indicador de transparencia administrativa - indicadores ita, sia observa, secoop, sistema deinformacion hospitalario - siho - misalud e indicadores fenix - supersalud</t>
  </si>
  <si>
    <t>Manual de politica de comunicación adoptado en la entidad; es decir el manual de procesos - calidad</t>
  </si>
  <si>
    <t>Toda esta informacionse encuentra publicada en la pagina web en el link: transparencia administrativa- ita- pgn.informacion suministrada por los jefes de dependencia o lideres de procesos en la entidad.</t>
  </si>
  <si>
    <t>Actualmente la dependencia de calida se encuentra ajustando el manual de procesos y procedimientos que deb eadoptar la entidad; para que fluya de manera clara para una mejor gestion y control.</t>
  </si>
  <si>
    <t>Plan anual de auditorias, pamec, plan de accion institucional,plan anticorrupcion y atencion al ciudadano y evaluacion semestral  al sci de la entidad.</t>
  </si>
  <si>
    <t>Acto administrativo de adopcion del mipg en la entida a traves de la resolucion no.101 de 2020. Adicionalmente la ese creo los comité coordinador decontrol interno y el comité de gestion y desempeño - actas de reunion y seguimiento a la gestion.</t>
  </si>
  <si>
    <t>Informes  o cartas de control radicadas en la alta gerencia y los respectivos ajustes realizados por la administracion a los planes estrategicos - planes de accion y los respectivos planes de mejoramiento en los que se implemtan las respectivas acciones correctivas y son medidas a traves del cumplimiento de las respectivas metas de cumplimiento o avance a la gestion.</t>
  </si>
  <si>
    <t>Informes de avance semestral de seguimiento planes demejoramiento radicados por el despacho de control interno en la alta gerencia y reportados al operador de control dentro de la oportunidad de los terminos de ley.</t>
  </si>
  <si>
    <t>Recomendaciones señaladas en las evaluaciones al plan anticorrupcion - componente mapa de riesgo institucional.</t>
  </si>
  <si>
    <t>Informes de ley radicados en la alta gerencia y publicdos en la pagina web de la entidad en el link: meci. Informes de evaluacion cuatrimestral al estado del sci a traves de recomendaciones señaladas a los lideres de procesos y al coordinador de calidad.</t>
  </si>
  <si>
    <t>Comite de gestion y desempeño y comité de control interno. - acta de reunion y seguimiento. Adicionalmente podemos obsevar en las evaluaciones realizdas por el despacho de control interno a los sistemas de gestion adoptados en la entidad,; una vez son radicados en la alta gerencia; los lideres de procesos o jefes de  dependencias realizan en un termino razonble los respectivos ajuste a los planes de accion y mapas de riesgos adoptados  por la administracion.</t>
  </si>
  <si>
    <t>En las  evaluaciones realizadas a los sistemas de gestion el despacho de control interno señala recomendaciones de ajustes a la administracion de riesgo, con el propositque los lideres de procesos ojefes de dependencia puedan dar cumplimiento a las metas planteadas en los planes estrategicos de accion.</t>
  </si>
  <si>
    <t>Actualmente los lideres de procesos o jefes de dependencia vienen observando las recomendaciones señaladas a la administracion en las respectivas evaluaciones realizadas a sus sitemas de gestion; y vienen realizando los ajustes a sus planes de accion y mapas de riesgos; fortaleciendo asi el sistema de control interno frente a su funcion preventiva.</t>
  </si>
  <si>
    <t>Informe de rendicion de cuenta a la ciudadania - audiencia ublica, planes de mejoramiento suscrito con la cgr, planes de accion suscritos con la supersalud la cual seencuentra publicada en la pagina web en el link: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</si>
</sst>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2"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6"/>
      <color theme="1"/>
      <name val="Arial"/>
      <family val="2"/>
    </font>
    <font>
      <sz val="16"/>
      <color rgb="FFFF0000"/>
      <name val="Arial"/>
      <family val="2"/>
    </font>
    <font>
      <b/>
      <sz val="16"/>
      <color rgb="FF00B0F0"/>
      <name val="Arial"/>
      <family val="2"/>
    </font>
    <font>
      <sz val="16"/>
      <color theme="1"/>
      <name val="Calibri"/>
      <family val="2"/>
      <scheme val="minor"/>
    </font>
    <font>
      <sz val="16"/>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9">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7" fillId="0" borderId="0" xfId="0" applyFont="1" applyAlignment="1" applyProtection="1">
      <alignment horizontal="left" vertical="center" wrapText="1"/>
      <protection locked="0"/>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57" fillId="0" borderId="24" xfId="0" applyFont="1" applyBorder="1" applyAlignment="1" applyProtection="1">
      <alignment horizontal="center" wrapText="1"/>
      <protection locked="0"/>
    </xf>
    <xf numFmtId="0" fontId="60" fillId="0" borderId="1" xfId="0" applyFont="1" applyBorder="1" applyAlignment="1" applyProtection="1">
      <alignment horizontal="center" wrapText="1"/>
      <protection locked="0"/>
    </xf>
    <xf numFmtId="0" fontId="60" fillId="0" borderId="25" xfId="0" applyFont="1" applyBorder="1" applyAlignment="1" applyProtection="1">
      <alignment horizontal="center" wrapText="1"/>
      <protection locked="0"/>
    </xf>
    <xf numFmtId="0" fontId="57" fillId="0" borderId="24" xfId="0" applyFont="1" applyBorder="1" applyAlignment="1" applyProtection="1">
      <alignment horizontal="center" vertical="center" wrapText="1"/>
      <protection locked="0"/>
    </xf>
    <xf numFmtId="0" fontId="60" fillId="0" borderId="1" xfId="0" applyFont="1" applyBorder="1" applyAlignment="1" applyProtection="1">
      <alignment horizontal="center" vertical="center" wrapText="1"/>
      <protection locked="0"/>
    </xf>
    <xf numFmtId="0" fontId="60" fillId="0" borderId="25" xfId="0" applyFont="1" applyBorder="1" applyAlignment="1" applyProtection="1">
      <alignment horizontal="center" vertical="center" wrapText="1"/>
      <protection locked="0"/>
    </xf>
    <xf numFmtId="0" fontId="58" fillId="0" borderId="24" xfId="0" applyFont="1" applyBorder="1" applyAlignment="1" applyProtection="1">
      <alignment horizontal="center" vertical="center" wrapText="1"/>
      <protection locked="0"/>
    </xf>
    <xf numFmtId="0" fontId="57" fillId="0" borderId="1" xfId="0" applyFont="1" applyBorder="1" applyAlignment="1" applyProtection="1">
      <alignment horizontal="center" vertical="center" wrapText="1"/>
      <protection locked="0"/>
    </xf>
    <xf numFmtId="0" fontId="57" fillId="0" borderId="25" xfId="0" applyFont="1" applyBorder="1" applyAlignment="1" applyProtection="1">
      <alignment horizontal="center" vertical="center" wrapText="1"/>
      <protection locked="0"/>
    </xf>
    <xf numFmtId="0" fontId="52" fillId="12" borderId="0" xfId="0" applyFont="1" applyFill="1" applyBorder="1" applyAlignment="1">
      <alignment horizontal="center" vertical="center" wrapText="1"/>
    </xf>
    <xf numFmtId="0" fontId="61" fillId="0" borderId="24" xfId="0" applyFont="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0" fontId="61" fillId="0" borderId="25" xfId="0" applyFont="1" applyBorder="1" applyAlignment="1" applyProtection="1">
      <alignment horizontal="center" vertical="center" wrapText="1"/>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7" fillId="4" borderId="2" xfId="0" applyNumberFormat="1" applyFont="1" applyFill="1" applyBorder="1" applyAlignment="1" applyProtection="1">
      <alignment horizontal="center" vertical="top" wrapText="1"/>
      <protection locked="0"/>
    </xf>
    <xf numFmtId="49" fontId="0" fillId="4" borderId="2" xfId="0" applyNumberFormat="1" applyFill="1" applyBorder="1" applyAlignment="1" applyProtection="1">
      <alignment horizontal="center" vertical="top" wrapText="1"/>
      <protection locked="0"/>
    </xf>
    <xf numFmtId="49" fontId="0" fillId="4" borderId="84" xfId="0" applyNumberFormat="1" applyFill="1" applyBorder="1" applyAlignment="1" applyProtection="1">
      <alignment horizontal="center" vertical="top" wrapText="1"/>
      <protection locked="0"/>
    </xf>
    <xf numFmtId="49" fontId="57" fillId="4" borderId="3" xfId="0" applyNumberFormat="1" applyFont="1" applyFill="1" applyBorder="1" applyAlignment="1" applyProtection="1">
      <alignment horizontal="center" vertical="top" wrapText="1"/>
      <protection locked="0"/>
    </xf>
    <xf numFmtId="49" fontId="0" fillId="4" borderId="3" xfId="0" applyNumberFormat="1" applyFill="1" applyBorder="1" applyAlignment="1" applyProtection="1">
      <alignment horizontal="center" vertical="top" wrapText="1"/>
      <protection locked="0"/>
    </xf>
    <xf numFmtId="49" fontId="0" fillId="4" borderId="85" xfId="0" applyNumberFormat="1" applyFill="1" applyBorder="1" applyAlignment="1" applyProtection="1">
      <alignment horizontal="center" vertical="top" wrapText="1"/>
      <protection locked="0"/>
    </xf>
    <xf numFmtId="49" fontId="57" fillId="4" borderId="4" xfId="0" applyNumberFormat="1" applyFont="1" applyFill="1" applyBorder="1" applyAlignment="1" applyProtection="1">
      <alignment horizontal="center" vertical="top" wrapText="1"/>
      <protection locked="0"/>
    </xf>
    <xf numFmtId="49" fontId="0" fillId="4" borderId="4" xfId="0" applyNumberFormat="1" applyFill="1" applyBorder="1" applyAlignment="1" applyProtection="1">
      <alignment horizontal="center" vertical="top" wrapText="1"/>
      <protection locked="0"/>
    </xf>
    <xf numFmtId="49" fontId="0" fillId="4" borderId="86" xfId="0" applyNumberFormat="1" applyFill="1" applyBorder="1" applyAlignment="1" applyProtection="1">
      <alignment horizontal="center" vertical="top" wrapText="1"/>
      <protection locked="0"/>
    </xf>
  </cellXfs>
  <cellStyles count="5">
    <cellStyle name="Normal" xfId="0" builtinId="0"/>
    <cellStyle name="Normal - Style1 2" xfId="3" xr:uid="{00000000-0005-0000-0000-000002000000}"/>
    <cellStyle name="Normal 2" xfId="2" xr:uid="{00000000-0005-0000-0000-000003000000}"/>
    <cellStyle name="Normal 2 2" xfId="4" xr:uid="{00000000-0005-0000-0000-000004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7" t="s">
        <v>0</v>
      </c>
      <c r="C2" s="198"/>
      <c r="D2" s="198"/>
      <c r="E2" s="198"/>
      <c r="F2" s="198"/>
      <c r="G2" s="198"/>
      <c r="H2" s="199"/>
    </row>
    <row r="3" spans="2:8" ht="65.25" customHeight="1" x14ac:dyDescent="0.2">
      <c r="B3" s="200" t="s">
        <v>1</v>
      </c>
      <c r="C3" s="201"/>
      <c r="D3" s="201"/>
      <c r="E3" s="201"/>
      <c r="F3" s="201"/>
      <c r="G3" s="201"/>
      <c r="H3" s="202"/>
    </row>
    <row r="4" spans="2:8" ht="82.5" customHeight="1" x14ac:dyDescent="0.2">
      <c r="B4" s="200"/>
      <c r="C4" s="201"/>
      <c r="D4" s="201"/>
      <c r="E4" s="201"/>
      <c r="F4" s="201"/>
      <c r="G4" s="201"/>
      <c r="H4" s="202"/>
    </row>
    <row r="5" spans="2:8" ht="21.75" customHeight="1" x14ac:dyDescent="0.2">
      <c r="B5" s="203" t="s">
        <v>2</v>
      </c>
      <c r="C5" s="204"/>
      <c r="D5" s="204"/>
      <c r="E5" s="204"/>
      <c r="F5" s="204"/>
      <c r="G5" s="204"/>
      <c r="H5" s="205"/>
    </row>
    <row r="6" spans="2:8" ht="42" customHeight="1" x14ac:dyDescent="0.2">
      <c r="B6" s="206" t="s">
        <v>3</v>
      </c>
      <c r="C6" s="207"/>
      <c r="D6" s="207"/>
      <c r="E6" s="207"/>
      <c r="F6" s="207"/>
      <c r="G6" s="207"/>
      <c r="H6" s="208"/>
    </row>
    <row r="7" spans="2:8" ht="14.25" customHeight="1" x14ac:dyDescent="0.2">
      <c r="B7" s="206"/>
      <c r="C7" s="207"/>
      <c r="D7" s="207"/>
      <c r="E7" s="207"/>
      <c r="F7" s="207"/>
      <c r="G7" s="207"/>
      <c r="H7" s="208"/>
    </row>
    <row r="8" spans="2:8" ht="12.75" customHeight="1" thickBot="1" x14ac:dyDescent="0.25">
      <c r="B8" s="57"/>
      <c r="C8" s="51"/>
      <c r="D8" s="67"/>
      <c r="E8" s="68"/>
      <c r="F8" s="68"/>
      <c r="G8" s="65"/>
      <c r="H8" s="66"/>
    </row>
    <row r="9" spans="2:8" ht="21" customHeight="1" thickTop="1" x14ac:dyDescent="0.2">
      <c r="B9" s="57"/>
      <c r="C9" s="209" t="s">
        <v>4</v>
      </c>
      <c r="D9" s="210"/>
      <c r="E9" s="211" t="s">
        <v>5</v>
      </c>
      <c r="F9" s="212"/>
      <c r="G9" s="51"/>
      <c r="H9" s="59"/>
    </row>
    <row r="10" spans="2:8" ht="37.5" customHeight="1" x14ac:dyDescent="0.2">
      <c r="B10" s="57"/>
      <c r="C10" s="189" t="s">
        <v>6</v>
      </c>
      <c r="D10" s="190"/>
      <c r="E10" s="191" t="s">
        <v>7</v>
      </c>
      <c r="F10" s="192"/>
      <c r="G10" s="51"/>
      <c r="H10" s="59"/>
    </row>
    <row r="11" spans="2:8" ht="39.75" customHeight="1" x14ac:dyDescent="0.2">
      <c r="B11" s="57"/>
      <c r="C11" s="193" t="s">
        <v>8</v>
      </c>
      <c r="D11" s="194"/>
      <c r="E11" s="170" t="s">
        <v>9</v>
      </c>
      <c r="F11" s="171"/>
      <c r="G11" s="51"/>
      <c r="H11" s="59"/>
    </row>
    <row r="12" spans="2:8" ht="59.25" customHeight="1" x14ac:dyDescent="0.2">
      <c r="B12" s="57"/>
      <c r="C12" s="193" t="s">
        <v>10</v>
      </c>
      <c r="D12" s="194"/>
      <c r="E12" s="195" t="s">
        <v>11</v>
      </c>
      <c r="F12" s="196"/>
      <c r="G12" s="51"/>
      <c r="H12" s="59"/>
    </row>
    <row r="13" spans="2:8" ht="33.75" customHeight="1" x14ac:dyDescent="0.2">
      <c r="B13" s="57"/>
      <c r="C13" s="168" t="s">
        <v>12</v>
      </c>
      <c r="D13" s="169"/>
      <c r="E13" s="170" t="s">
        <v>13</v>
      </c>
      <c r="F13" s="171"/>
      <c r="G13" s="51"/>
      <c r="H13" s="59"/>
    </row>
    <row r="14" spans="2:8" ht="19.5" customHeight="1" x14ac:dyDescent="0.2">
      <c r="B14" s="57"/>
      <c r="C14" s="63"/>
      <c r="D14" s="63"/>
      <c r="E14" s="64"/>
      <c r="F14" s="64"/>
      <c r="G14" s="51"/>
      <c r="H14" s="59"/>
    </row>
    <row r="15" spans="2:8" ht="37.5" customHeight="1" thickBot="1" x14ac:dyDescent="0.25">
      <c r="B15" s="164" t="s">
        <v>14</v>
      </c>
      <c r="C15" s="165"/>
      <c r="D15" s="165"/>
      <c r="E15" s="165"/>
      <c r="F15" s="165"/>
      <c r="G15" s="165"/>
      <c r="H15" s="166"/>
    </row>
    <row r="16" spans="2:8" ht="27.75" customHeight="1" thickBot="1" x14ac:dyDescent="0.25">
      <c r="B16" s="57"/>
      <c r="C16" s="172" t="s">
        <v>15</v>
      </c>
      <c r="D16" s="173"/>
      <c r="E16" s="173" t="s">
        <v>16</v>
      </c>
      <c r="F16" s="184"/>
      <c r="G16" s="51"/>
      <c r="H16" s="59"/>
    </row>
    <row r="17" spans="2:8" ht="27.75" customHeight="1" x14ac:dyDescent="0.2">
      <c r="B17" s="57"/>
      <c r="C17" s="185" t="s">
        <v>17</v>
      </c>
      <c r="D17" s="186"/>
      <c r="E17" s="187" t="s">
        <v>18</v>
      </c>
      <c r="F17" s="188"/>
      <c r="G17" s="101"/>
      <c r="H17" s="59"/>
    </row>
    <row r="18" spans="2:8" ht="41.25" customHeight="1" x14ac:dyDescent="0.2">
      <c r="B18" s="57"/>
      <c r="C18" s="174" t="s">
        <v>19</v>
      </c>
      <c r="D18" s="175"/>
      <c r="E18" s="176" t="s">
        <v>20</v>
      </c>
      <c r="F18" s="177"/>
      <c r="G18" s="102"/>
      <c r="H18" s="59"/>
    </row>
    <row r="19" spans="2:8" ht="37.5" customHeight="1" thickBot="1" x14ac:dyDescent="0.25">
      <c r="B19" s="57"/>
      <c r="C19" s="178" t="s">
        <v>21</v>
      </c>
      <c r="D19" s="179"/>
      <c r="E19" s="180" t="s">
        <v>22</v>
      </c>
      <c r="F19" s="181"/>
      <c r="G19" s="102"/>
      <c r="H19" s="59"/>
    </row>
    <row r="20" spans="2:8" ht="11.25" customHeight="1" x14ac:dyDescent="0.2">
      <c r="B20" s="52"/>
      <c r="C20" s="53"/>
      <c r="D20" s="53"/>
      <c r="E20" s="53"/>
      <c r="F20" s="53"/>
      <c r="G20" s="53"/>
      <c r="H20" s="54"/>
    </row>
    <row r="21" spans="2:8" ht="14.25" customHeight="1" x14ac:dyDescent="0.2">
      <c r="B21" s="55"/>
      <c r="C21" s="182"/>
      <c r="D21" s="182"/>
      <c r="E21" s="183"/>
      <c r="F21" s="183"/>
      <c r="G21" s="183"/>
      <c r="H21" s="56"/>
    </row>
    <row r="22" spans="2:8" ht="36" customHeight="1" x14ac:dyDescent="0.2">
      <c r="B22" s="164" t="s">
        <v>23</v>
      </c>
      <c r="C22" s="165"/>
      <c r="D22" s="165"/>
      <c r="E22" s="165"/>
      <c r="F22" s="165"/>
      <c r="G22" s="165"/>
      <c r="H22" s="166"/>
    </row>
    <row r="23" spans="2:8" ht="13.5" x14ac:dyDescent="0.2">
      <c r="B23" s="57"/>
      <c r="C23" s="58"/>
      <c r="D23" s="58"/>
      <c r="E23" s="167"/>
      <c r="F23" s="167"/>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B49" workbookViewId="0">
      <selection activeCell="H16" sqref="H16"/>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3" t="s">
        <v>24</v>
      </c>
      <c r="C14" s="213"/>
      <c r="D14" s="213"/>
      <c r="E14" s="213"/>
      <c r="F14" s="213"/>
      <c r="G14" s="213"/>
      <c r="H14" s="213"/>
      <c r="I14" s="21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29" t="s">
        <v>31</v>
      </c>
      <c r="C16" s="239" t="s">
        <v>32</v>
      </c>
      <c r="D16" s="226" t="s">
        <v>33</v>
      </c>
      <c r="E16" s="81" t="s">
        <v>34</v>
      </c>
      <c r="F16" s="82" t="s">
        <v>35</v>
      </c>
      <c r="G16" s="112" t="s">
        <v>38</v>
      </c>
      <c r="H16" s="113" t="s">
        <v>190</v>
      </c>
      <c r="I16" s="104" t="str">
        <f>+IF(G16="Si","Mantenimiento del control",IF(G16="En proceso","Oportunidad de mejora","Deficiencia de control"))</f>
        <v>Mantenimiento del control</v>
      </c>
      <c r="J16" s="105">
        <f t="shared" ref="J16:J27" si="0">+IF(G16="Si",20,IF(G16="En proceso",10,0))</f>
        <v>20</v>
      </c>
      <c r="K16" s="105">
        <v>0.123</v>
      </c>
      <c r="L16" s="105">
        <f>+J16+K16</f>
        <v>20.123000000000001</v>
      </c>
    </row>
    <row r="17" spans="1:32" s="49" customFormat="1" ht="63" x14ac:dyDescent="0.25">
      <c r="A17" s="103" t="str">
        <f t="shared" ref="A17:A27" si="1">1&amp;E17</f>
        <v>1b</v>
      </c>
      <c r="B17" s="230"/>
      <c r="C17" s="240"/>
      <c r="D17" s="227"/>
      <c r="E17" s="83" t="s">
        <v>36</v>
      </c>
      <c r="F17" s="84" t="s">
        <v>37</v>
      </c>
      <c r="G17" s="114" t="s">
        <v>38</v>
      </c>
      <c r="H17" s="115" t="s">
        <v>191</v>
      </c>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30"/>
      <c r="C18" s="240"/>
      <c r="D18" s="227"/>
      <c r="E18" s="83" t="s">
        <v>39</v>
      </c>
      <c r="F18" s="85" t="s">
        <v>40</v>
      </c>
      <c r="G18" s="116" t="s">
        <v>38</v>
      </c>
      <c r="H18" s="117" t="s">
        <v>192</v>
      </c>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30"/>
      <c r="C19" s="240"/>
      <c r="D19" s="227"/>
      <c r="E19" s="83" t="s">
        <v>41</v>
      </c>
      <c r="F19" s="85" t="s">
        <v>42</v>
      </c>
      <c r="G19" s="116" t="s">
        <v>38</v>
      </c>
      <c r="H19" s="117" t="s">
        <v>193</v>
      </c>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30"/>
      <c r="C20" s="240"/>
      <c r="D20" s="227"/>
      <c r="E20" s="83" t="s">
        <v>43</v>
      </c>
      <c r="F20" s="85" t="s">
        <v>44</v>
      </c>
      <c r="G20" s="116" t="s">
        <v>38</v>
      </c>
      <c r="H20" s="117" t="s">
        <v>194</v>
      </c>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30"/>
      <c r="C21" s="240"/>
      <c r="D21" s="227"/>
      <c r="E21" s="83" t="s">
        <v>45</v>
      </c>
      <c r="F21" s="85" t="s">
        <v>46</v>
      </c>
      <c r="G21" s="116" t="s">
        <v>38</v>
      </c>
      <c r="H21" s="117" t="s">
        <v>195</v>
      </c>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30"/>
      <c r="C22" s="240"/>
      <c r="D22" s="227"/>
      <c r="E22" s="83" t="s">
        <v>47</v>
      </c>
      <c r="F22" s="85" t="s">
        <v>48</v>
      </c>
      <c r="G22" s="116" t="s">
        <v>38</v>
      </c>
      <c r="H22" s="117" t="s">
        <v>196</v>
      </c>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30"/>
      <c r="C23" s="240"/>
      <c r="D23" s="227"/>
      <c r="E23" s="83" t="s">
        <v>49</v>
      </c>
      <c r="F23" s="85" t="s">
        <v>50</v>
      </c>
      <c r="G23" s="116" t="s">
        <v>75</v>
      </c>
      <c r="H23" s="117" t="s">
        <v>197</v>
      </c>
      <c r="I23" s="108" t="str">
        <f t="shared" si="2"/>
        <v>Oportunidad de mejora</v>
      </c>
      <c r="J23" s="107">
        <f t="shared" si="0"/>
        <v>10</v>
      </c>
      <c r="K23" s="105">
        <v>0.12345678911999999</v>
      </c>
      <c r="L23" s="105">
        <f t="shared" si="3"/>
        <v>10.12345678912</v>
      </c>
    </row>
    <row r="24" spans="1:32" s="49" customFormat="1" ht="57.75" customHeight="1" x14ac:dyDescent="0.25">
      <c r="A24" s="103" t="str">
        <f t="shared" si="1"/>
        <v>1i</v>
      </c>
      <c r="B24" s="230"/>
      <c r="C24" s="240"/>
      <c r="D24" s="227"/>
      <c r="E24" s="83" t="s">
        <v>51</v>
      </c>
      <c r="F24" s="85" t="s">
        <v>52</v>
      </c>
      <c r="G24" s="116" t="s">
        <v>38</v>
      </c>
      <c r="H24" s="117" t="s">
        <v>198</v>
      </c>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30"/>
      <c r="C25" s="240"/>
      <c r="D25" s="227"/>
      <c r="E25" s="83" t="s">
        <v>53</v>
      </c>
      <c r="F25" s="85" t="s">
        <v>54</v>
      </c>
      <c r="G25" s="116" t="s">
        <v>75</v>
      </c>
      <c r="H25" s="117" t="s">
        <v>199</v>
      </c>
      <c r="I25" s="108" t="str">
        <f t="shared" si="2"/>
        <v>Oportunidad de mejora</v>
      </c>
      <c r="J25" s="107">
        <f t="shared" si="0"/>
        <v>10</v>
      </c>
      <c r="K25" s="105">
        <v>0.1234567891234</v>
      </c>
      <c r="L25" s="105">
        <f t="shared" si="3"/>
        <v>10.1234567891234</v>
      </c>
    </row>
    <row r="26" spans="1:32" s="49" customFormat="1" ht="42" customHeight="1" x14ac:dyDescent="0.25">
      <c r="A26" s="103" t="str">
        <f t="shared" si="1"/>
        <v>1k</v>
      </c>
      <c r="B26" s="230"/>
      <c r="C26" s="240"/>
      <c r="D26" s="227"/>
      <c r="E26" s="83" t="s">
        <v>55</v>
      </c>
      <c r="F26" s="85" t="s">
        <v>56</v>
      </c>
      <c r="G26" s="116" t="s">
        <v>38</v>
      </c>
      <c r="H26" s="117" t="s">
        <v>200</v>
      </c>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31"/>
      <c r="C27" s="241"/>
      <c r="D27" s="228"/>
      <c r="E27" s="86" t="s">
        <v>57</v>
      </c>
      <c r="F27" s="87" t="s">
        <v>58</v>
      </c>
      <c r="G27" s="118" t="s">
        <v>38</v>
      </c>
      <c r="H27" s="119" t="s">
        <v>201</v>
      </c>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32" t="s">
        <v>59</v>
      </c>
      <c r="C28" s="242" t="s">
        <v>60</v>
      </c>
      <c r="D28" s="235" t="s">
        <v>61</v>
      </c>
      <c r="E28" s="81" t="s">
        <v>34</v>
      </c>
      <c r="F28" s="82" t="s">
        <v>62</v>
      </c>
      <c r="G28" s="112" t="s">
        <v>75</v>
      </c>
      <c r="H28" s="113" t="s">
        <v>202</v>
      </c>
      <c r="I28" s="104" t="str">
        <f t="shared" si="2"/>
        <v>Oportunidad de mejora</v>
      </c>
      <c r="J28" s="105">
        <f>+IF(G28="Si",40,IF(G28="En proceso",30,20))</f>
        <v>30</v>
      </c>
      <c r="K28" s="105">
        <v>0.23</v>
      </c>
      <c r="L28" s="105">
        <f t="shared" si="3"/>
        <v>30.23</v>
      </c>
    </row>
    <row r="29" spans="1:32" s="49" customFormat="1" ht="63" x14ac:dyDescent="0.25">
      <c r="A29" s="103" t="str">
        <f t="shared" ref="A29:A31" si="4">2&amp;E29</f>
        <v>2b</v>
      </c>
      <c r="B29" s="233"/>
      <c r="C29" s="243"/>
      <c r="D29" s="236"/>
      <c r="E29" s="83" t="s">
        <v>36</v>
      </c>
      <c r="F29" s="85" t="s">
        <v>63</v>
      </c>
      <c r="G29" s="116" t="s">
        <v>75</v>
      </c>
      <c r="H29" s="117" t="s">
        <v>203</v>
      </c>
      <c r="I29" s="108" t="str">
        <f t="shared" si="2"/>
        <v>Oportunidad de mejora</v>
      </c>
      <c r="J29" s="105">
        <f>+IF(G29="Si",40,IF(G29="En proceso",30,20))</f>
        <v>30</v>
      </c>
      <c r="K29" s="105">
        <v>0.23400000000000001</v>
      </c>
      <c r="L29" s="105">
        <f t="shared" si="3"/>
        <v>30.234000000000002</v>
      </c>
    </row>
    <row r="30" spans="1:32" s="49" customFormat="1" ht="49.5" x14ac:dyDescent="0.25">
      <c r="A30" s="103" t="str">
        <f t="shared" si="4"/>
        <v>2c</v>
      </c>
      <c r="B30" s="233"/>
      <c r="C30" s="243"/>
      <c r="D30" s="236"/>
      <c r="E30" s="83" t="s">
        <v>39</v>
      </c>
      <c r="F30" s="85" t="s">
        <v>64</v>
      </c>
      <c r="G30" s="116" t="s">
        <v>38</v>
      </c>
      <c r="H30" s="117" t="s">
        <v>204</v>
      </c>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34"/>
      <c r="C31" s="244"/>
      <c r="D31" s="237"/>
      <c r="E31" s="86" t="s">
        <v>41</v>
      </c>
      <c r="F31" s="87" t="s">
        <v>65</v>
      </c>
      <c r="G31" s="118" t="s">
        <v>75</v>
      </c>
      <c r="H31" s="119" t="s">
        <v>205</v>
      </c>
      <c r="I31" s="109" t="str">
        <f t="shared" si="2"/>
        <v>Oportunidad de mejora</v>
      </c>
      <c r="J31" s="105">
        <f>+IF(G31="Si",40,IF(G31="En proceso",30,20))</f>
        <v>30</v>
      </c>
      <c r="K31" s="105">
        <v>0.23455999999999999</v>
      </c>
      <c r="L31" s="105">
        <f t="shared" si="3"/>
        <v>30.234559999999998</v>
      </c>
    </row>
    <row r="32" spans="1:32" s="49" customFormat="1" ht="49.5" customHeight="1" x14ac:dyDescent="0.25">
      <c r="A32" s="103" t="str">
        <f>3&amp;E32</f>
        <v>3a</v>
      </c>
      <c r="B32" s="254" t="s">
        <v>66</v>
      </c>
      <c r="C32" s="254" t="s">
        <v>60</v>
      </c>
      <c r="D32" s="255" t="s">
        <v>67</v>
      </c>
      <c r="E32" s="88" t="s">
        <v>34</v>
      </c>
      <c r="F32" s="85" t="s">
        <v>68</v>
      </c>
      <c r="G32" s="116" t="s">
        <v>75</v>
      </c>
      <c r="H32" s="117" t="s">
        <v>206</v>
      </c>
      <c r="I32" s="108" t="str">
        <f t="shared" si="2"/>
        <v>Oportunidad de mejora</v>
      </c>
      <c r="J32" s="105">
        <f t="shared" ref="J32:J37" si="5">+IF(G32="Si",40,IF(G32="En proceso",30,20))</f>
        <v>30</v>
      </c>
      <c r="K32" s="110">
        <v>0.234567</v>
      </c>
      <c r="L32" s="105">
        <f t="shared" ref="L32:L37" si="6">+J32+K32</f>
        <v>30.234566999999998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54"/>
      <c r="C33" s="254"/>
      <c r="D33" s="255"/>
      <c r="E33" s="88" t="s">
        <v>36</v>
      </c>
      <c r="F33" s="85" t="s">
        <v>69</v>
      </c>
      <c r="G33" s="116" t="s">
        <v>75</v>
      </c>
      <c r="H33" s="117" t="s">
        <v>207</v>
      </c>
      <c r="I33" s="108" t="str">
        <f t="shared" si="2"/>
        <v>Oportunidad de mejora</v>
      </c>
      <c r="J33" s="105">
        <f t="shared" si="5"/>
        <v>30</v>
      </c>
      <c r="K33" s="110">
        <v>0.23456779999999999</v>
      </c>
      <c r="L33" s="105">
        <f t="shared" si="6"/>
        <v>30.234567800000001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54"/>
      <c r="C34" s="254"/>
      <c r="D34" s="255"/>
      <c r="E34" s="88" t="s">
        <v>39</v>
      </c>
      <c r="F34" s="85" t="s">
        <v>70</v>
      </c>
      <c r="G34" s="116" t="s">
        <v>75</v>
      </c>
      <c r="H34" s="117" t="s">
        <v>211</v>
      </c>
      <c r="I34" s="108" t="str">
        <f t="shared" si="2"/>
        <v>Oportunidad de mejora</v>
      </c>
      <c r="J34" s="105">
        <f t="shared" si="5"/>
        <v>30</v>
      </c>
      <c r="K34" s="110">
        <v>0.23456789</v>
      </c>
      <c r="L34" s="105">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6" t="s">
        <v>71</v>
      </c>
      <c r="C35" s="243" t="s">
        <v>60</v>
      </c>
      <c r="D35" s="236" t="s">
        <v>72</v>
      </c>
      <c r="E35" s="81" t="s">
        <v>34</v>
      </c>
      <c r="F35" s="82" t="s">
        <v>73</v>
      </c>
      <c r="G35" s="112" t="s">
        <v>75</v>
      </c>
      <c r="H35" s="113" t="s">
        <v>208</v>
      </c>
      <c r="I35" s="104" t="str">
        <f t="shared" si="2"/>
        <v>Oportunidad de mejora</v>
      </c>
      <c r="J35" s="105">
        <f t="shared" si="5"/>
        <v>30</v>
      </c>
      <c r="K35" s="110">
        <v>0.23456789119999999</v>
      </c>
      <c r="L35" s="105">
        <f t="shared" si="6"/>
        <v>30.234567891200001</v>
      </c>
      <c r="M35" s="48"/>
      <c r="N35" s="48"/>
      <c r="O35" s="48"/>
      <c r="P35" s="48"/>
      <c r="Q35" s="48"/>
    </row>
    <row r="36" spans="1:32" s="49" customFormat="1" ht="57.75" customHeight="1" x14ac:dyDescent="0.25">
      <c r="A36" s="103" t="str">
        <f t="shared" ref="A36:A37" si="8">4&amp;E36</f>
        <v>4b</v>
      </c>
      <c r="B36" s="256"/>
      <c r="C36" s="243"/>
      <c r="D36" s="236"/>
      <c r="E36" s="83" t="s">
        <v>36</v>
      </c>
      <c r="F36" s="85" t="s">
        <v>74</v>
      </c>
      <c r="G36" s="116" t="s">
        <v>75</v>
      </c>
      <c r="H36" s="117" t="s">
        <v>209</v>
      </c>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6"/>
      <c r="C37" s="243"/>
      <c r="D37" s="236"/>
      <c r="E37" s="83" t="s">
        <v>39</v>
      </c>
      <c r="F37" s="85" t="s">
        <v>76</v>
      </c>
      <c r="G37" s="116" t="s">
        <v>75</v>
      </c>
      <c r="H37" s="117" t="s">
        <v>210</v>
      </c>
      <c r="I37" s="108" t="str">
        <f t="shared" si="2"/>
        <v>Oportunidad de mejora</v>
      </c>
      <c r="J37" s="105">
        <f t="shared" si="5"/>
        <v>30</v>
      </c>
      <c r="K37" s="110">
        <v>0.23456789123399999</v>
      </c>
      <c r="L37" s="105">
        <f t="shared" si="6"/>
        <v>30.234567891234001</v>
      </c>
      <c r="M37" s="48"/>
      <c r="N37" s="48"/>
      <c r="O37" s="48"/>
      <c r="P37" s="48"/>
      <c r="Q37" s="48"/>
    </row>
    <row r="38" spans="1:32" s="49" customFormat="1" ht="85.5" customHeight="1" x14ac:dyDescent="0.25">
      <c r="A38" s="103" t="str">
        <f>5&amp;E38</f>
        <v>5a</v>
      </c>
      <c r="B38" s="257" t="s">
        <v>77</v>
      </c>
      <c r="C38" s="245" t="s">
        <v>78</v>
      </c>
      <c r="D38" s="260" t="s">
        <v>79</v>
      </c>
      <c r="E38" s="81" t="s">
        <v>34</v>
      </c>
      <c r="F38" s="89" t="s">
        <v>80</v>
      </c>
      <c r="G38" s="120" t="s">
        <v>75</v>
      </c>
      <c r="H38" s="117" t="s">
        <v>210</v>
      </c>
      <c r="I38" s="111" t="str">
        <f t="shared" si="2"/>
        <v>Oportunidad de mejora</v>
      </c>
      <c r="J38" s="105">
        <f>+IF(G38="Si",60,IF(G38="En proceso",50,40))</f>
        <v>50</v>
      </c>
      <c r="K38" s="105">
        <v>0.31</v>
      </c>
      <c r="L38" s="105">
        <f t="shared" si="3"/>
        <v>50.31</v>
      </c>
    </row>
    <row r="39" spans="1:32" s="49" customFormat="1" ht="63" x14ac:dyDescent="0.25">
      <c r="A39" s="103" t="str">
        <f t="shared" ref="A39:A42" si="9">5&amp;E39</f>
        <v>5b</v>
      </c>
      <c r="B39" s="258"/>
      <c r="C39" s="246"/>
      <c r="D39" s="261"/>
      <c r="E39" s="83" t="s">
        <v>36</v>
      </c>
      <c r="F39" s="85" t="s">
        <v>81</v>
      </c>
      <c r="G39" s="116" t="s">
        <v>75</v>
      </c>
      <c r="H39" s="117" t="s">
        <v>212</v>
      </c>
      <c r="I39" s="108" t="str">
        <f t="shared" si="2"/>
        <v>Oportunidad de mejora</v>
      </c>
      <c r="J39" s="105">
        <f>+IF(G39="Si",60,IF(G39="En proceso",50,40))</f>
        <v>50</v>
      </c>
      <c r="K39" s="105">
        <v>0.32300000000000001</v>
      </c>
      <c r="L39" s="105">
        <f t="shared" si="3"/>
        <v>50.323</v>
      </c>
    </row>
    <row r="40" spans="1:32" s="49" customFormat="1" ht="47.25" x14ac:dyDescent="0.25">
      <c r="A40" s="103" t="str">
        <f t="shared" si="9"/>
        <v>5c</v>
      </c>
      <c r="B40" s="258"/>
      <c r="C40" s="246"/>
      <c r="D40" s="261"/>
      <c r="E40" s="83" t="s">
        <v>39</v>
      </c>
      <c r="F40" s="85" t="s">
        <v>82</v>
      </c>
      <c r="G40" s="116" t="s">
        <v>75</v>
      </c>
      <c r="H40" s="117" t="s">
        <v>213</v>
      </c>
      <c r="I40" s="108" t="str">
        <f t="shared" si="2"/>
        <v>Oportunidad de mejora</v>
      </c>
      <c r="J40" s="105">
        <f>+IF(G40="Si",60,IF(G40="En proceso",50,40))</f>
        <v>50</v>
      </c>
      <c r="K40" s="105">
        <v>0.32400000000000001</v>
      </c>
      <c r="L40" s="105">
        <f t="shared" si="3"/>
        <v>50.323999999999998</v>
      </c>
    </row>
    <row r="41" spans="1:32" s="49" customFormat="1" ht="94.5" x14ac:dyDescent="0.25">
      <c r="A41" s="103" t="str">
        <f t="shared" si="9"/>
        <v>5d</v>
      </c>
      <c r="B41" s="258"/>
      <c r="C41" s="246"/>
      <c r="D41" s="261"/>
      <c r="E41" s="83" t="s">
        <v>41</v>
      </c>
      <c r="F41" s="85" t="s">
        <v>83</v>
      </c>
      <c r="G41" s="116" t="s">
        <v>38</v>
      </c>
      <c r="H41" s="117" t="s">
        <v>214</v>
      </c>
      <c r="I41" s="108" t="str">
        <f t="shared" si="2"/>
        <v>Mantenimiento del control</v>
      </c>
      <c r="J41" s="105">
        <f>+IF(G41="Si",60,IF(G41="En proceso",50,40))</f>
        <v>60</v>
      </c>
      <c r="K41" s="105">
        <v>0.32500000000000001</v>
      </c>
      <c r="L41" s="105">
        <f t="shared" si="3"/>
        <v>60.325000000000003</v>
      </c>
    </row>
    <row r="42" spans="1:32" s="49" customFormat="1" ht="48" thickBot="1" x14ac:dyDescent="0.3">
      <c r="A42" s="103" t="str">
        <f t="shared" si="9"/>
        <v>5e</v>
      </c>
      <c r="B42" s="259"/>
      <c r="C42" s="247"/>
      <c r="D42" s="262"/>
      <c r="E42" s="86" t="s">
        <v>43</v>
      </c>
      <c r="F42" s="87" t="s">
        <v>84</v>
      </c>
      <c r="G42" s="118" t="s">
        <v>38</v>
      </c>
      <c r="H42" s="119" t="s">
        <v>215</v>
      </c>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17" t="s">
        <v>85</v>
      </c>
      <c r="C43" s="248" t="s">
        <v>86</v>
      </c>
      <c r="D43" s="214" t="s">
        <v>87</v>
      </c>
      <c r="E43" s="81" t="s">
        <v>34</v>
      </c>
      <c r="F43" s="82" t="s">
        <v>88</v>
      </c>
      <c r="G43" s="112" t="s">
        <v>38</v>
      </c>
      <c r="H43" s="113" t="s">
        <v>218</v>
      </c>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18"/>
      <c r="C44" s="249"/>
      <c r="D44" s="215"/>
      <c r="E44" s="83" t="s">
        <v>36</v>
      </c>
      <c r="F44" s="85" t="s">
        <v>89</v>
      </c>
      <c r="G44" s="116" t="s">
        <v>38</v>
      </c>
      <c r="H44" s="117" t="s">
        <v>219</v>
      </c>
      <c r="I44" s="108" t="str">
        <f t="shared" si="2"/>
        <v>Mantenimiento del control</v>
      </c>
      <c r="J44" s="105">
        <f t="shared" si="10"/>
        <v>80</v>
      </c>
      <c r="K44" s="105">
        <v>0.4123</v>
      </c>
      <c r="L44" s="105">
        <f t="shared" si="3"/>
        <v>80.412300000000002</v>
      </c>
    </row>
    <row r="45" spans="1:32" s="49" customFormat="1" ht="66" x14ac:dyDescent="0.25">
      <c r="A45" s="103" t="str">
        <f t="shared" si="11"/>
        <v>6c</v>
      </c>
      <c r="B45" s="218"/>
      <c r="C45" s="249"/>
      <c r="D45" s="215"/>
      <c r="E45" s="83" t="s">
        <v>39</v>
      </c>
      <c r="F45" s="85" t="s">
        <v>90</v>
      </c>
      <c r="G45" s="116" t="s">
        <v>38</v>
      </c>
      <c r="H45" s="163" t="s">
        <v>229</v>
      </c>
      <c r="I45" s="108" t="str">
        <f t="shared" si="2"/>
        <v>Mantenimiento del control</v>
      </c>
      <c r="J45" s="105">
        <f t="shared" si="10"/>
        <v>80</v>
      </c>
      <c r="K45" s="105">
        <v>0.41233999999999998</v>
      </c>
      <c r="L45" s="105">
        <f t="shared" si="3"/>
        <v>80.41234</v>
      </c>
    </row>
    <row r="46" spans="1:32" s="49" customFormat="1" ht="54.75" customHeight="1" x14ac:dyDescent="0.25">
      <c r="A46" s="103" t="str">
        <f t="shared" si="11"/>
        <v>6d</v>
      </c>
      <c r="B46" s="218"/>
      <c r="C46" s="249"/>
      <c r="D46" s="215"/>
      <c r="E46" s="83" t="s">
        <v>41</v>
      </c>
      <c r="F46" s="85" t="s">
        <v>91</v>
      </c>
      <c r="G46" s="116" t="s">
        <v>38</v>
      </c>
      <c r="H46" s="117" t="s">
        <v>230</v>
      </c>
      <c r="I46" s="108" t="str">
        <f t="shared" si="2"/>
        <v>Mantenimiento del control</v>
      </c>
      <c r="J46" s="105">
        <f t="shared" si="10"/>
        <v>80</v>
      </c>
      <c r="K46" s="105">
        <v>0.41234500000000002</v>
      </c>
      <c r="L46" s="105">
        <f t="shared" si="3"/>
        <v>80.412345000000002</v>
      </c>
    </row>
    <row r="47" spans="1:32" s="49" customFormat="1" ht="82.5" x14ac:dyDescent="0.25">
      <c r="A47" s="103" t="str">
        <f t="shared" si="11"/>
        <v>6e</v>
      </c>
      <c r="B47" s="218"/>
      <c r="C47" s="249"/>
      <c r="D47" s="215"/>
      <c r="E47" s="83" t="s">
        <v>43</v>
      </c>
      <c r="F47" s="85" t="s">
        <v>92</v>
      </c>
      <c r="G47" s="116" t="s">
        <v>38</v>
      </c>
      <c r="H47" s="117" t="s">
        <v>242</v>
      </c>
      <c r="I47" s="108" t="str">
        <f t="shared" si="2"/>
        <v>Mantenimiento del control</v>
      </c>
      <c r="J47" s="105">
        <f t="shared" si="10"/>
        <v>80</v>
      </c>
      <c r="K47" s="105">
        <v>0.41234559999999998</v>
      </c>
      <c r="L47" s="105">
        <f t="shared" si="3"/>
        <v>80.412345599999995</v>
      </c>
    </row>
    <row r="48" spans="1:32" s="49" customFormat="1" ht="74.25" customHeight="1" x14ac:dyDescent="0.25">
      <c r="A48" s="103" t="str">
        <f t="shared" si="11"/>
        <v>6f</v>
      </c>
      <c r="B48" s="218"/>
      <c r="C48" s="249"/>
      <c r="D48" s="215"/>
      <c r="E48" s="83" t="s">
        <v>45</v>
      </c>
      <c r="F48" s="85" t="s">
        <v>93</v>
      </c>
      <c r="G48" s="116" t="s">
        <v>38</v>
      </c>
      <c r="H48" s="117" t="s">
        <v>231</v>
      </c>
      <c r="I48" s="108" t="str">
        <f t="shared" si="2"/>
        <v>Mantenimiento del control</v>
      </c>
      <c r="J48" s="105">
        <f t="shared" si="10"/>
        <v>80</v>
      </c>
      <c r="K48" s="105">
        <v>0.41234567</v>
      </c>
      <c r="L48" s="105">
        <f t="shared" si="3"/>
        <v>80.412345669999993</v>
      </c>
    </row>
    <row r="49" spans="1:17" s="49" customFormat="1" ht="66.75" thickBot="1" x14ac:dyDescent="0.3">
      <c r="A49" s="103" t="str">
        <f t="shared" si="11"/>
        <v>6g</v>
      </c>
      <c r="B49" s="219"/>
      <c r="C49" s="250"/>
      <c r="D49" s="216"/>
      <c r="E49" s="86" t="s">
        <v>47</v>
      </c>
      <c r="F49" s="87" t="s">
        <v>94</v>
      </c>
      <c r="G49" s="118" t="s">
        <v>75</v>
      </c>
      <c r="H49" s="119" t="s">
        <v>232</v>
      </c>
      <c r="I49" s="109" t="str">
        <f t="shared" si="2"/>
        <v>Oportunidad de mejora</v>
      </c>
      <c r="J49" s="105">
        <f t="shared" si="10"/>
        <v>70</v>
      </c>
      <c r="K49" s="105">
        <v>0.41234567799999999</v>
      </c>
      <c r="L49" s="105">
        <f t="shared" si="3"/>
        <v>70.412345677999994</v>
      </c>
    </row>
    <row r="50" spans="1:17" s="49" customFormat="1" ht="74.25" customHeight="1" x14ac:dyDescent="0.25">
      <c r="A50" s="103" t="str">
        <f>7&amp;E50</f>
        <v>7a</v>
      </c>
      <c r="B50" s="223" t="s">
        <v>95</v>
      </c>
      <c r="C50" s="251" t="s">
        <v>96</v>
      </c>
      <c r="D50" s="220" t="s">
        <v>97</v>
      </c>
      <c r="E50" s="81" t="s">
        <v>34</v>
      </c>
      <c r="F50" s="82" t="s">
        <v>98</v>
      </c>
      <c r="G50" s="112" t="s">
        <v>38</v>
      </c>
      <c r="H50" s="113" t="s">
        <v>233</v>
      </c>
      <c r="I50" s="104" t="str">
        <f t="shared" si="2"/>
        <v>Mantenimiento del control</v>
      </c>
      <c r="J50" s="105">
        <f>+IF(G50="Si",120,IF(G50="En proceso",100,80))</f>
        <v>120</v>
      </c>
      <c r="K50" s="105">
        <v>0.85099999999999998</v>
      </c>
      <c r="L50" s="105">
        <f t="shared" si="3"/>
        <v>120.851</v>
      </c>
    </row>
    <row r="51" spans="1:17" s="49" customFormat="1" ht="99" x14ac:dyDescent="0.25">
      <c r="A51" s="103" t="str">
        <f t="shared" ref="A51:A53" si="12">7&amp;E51</f>
        <v>7d</v>
      </c>
      <c r="B51" s="224"/>
      <c r="C51" s="252"/>
      <c r="D51" s="221"/>
      <c r="E51" s="83" t="s">
        <v>41</v>
      </c>
      <c r="F51" s="85" t="s">
        <v>99</v>
      </c>
      <c r="G51" s="116" t="s">
        <v>38</v>
      </c>
      <c r="H51" s="117" t="s">
        <v>234</v>
      </c>
      <c r="I51" s="108" t="str">
        <f t="shared" si="2"/>
        <v>Mantenimiento del control</v>
      </c>
      <c r="J51" s="105">
        <f t="shared" ref="J51:J59" si="13">+IF(G51="Si",120,IF(G51="En proceso",100,80))</f>
        <v>120</v>
      </c>
      <c r="K51" s="105">
        <v>0.85119999999999996</v>
      </c>
      <c r="L51" s="105">
        <f t="shared" si="3"/>
        <v>120.85120000000001</v>
      </c>
    </row>
    <row r="52" spans="1:17" s="49" customFormat="1" ht="132" x14ac:dyDescent="0.25">
      <c r="A52" s="103" t="str">
        <f t="shared" si="12"/>
        <v>7f</v>
      </c>
      <c r="B52" s="224"/>
      <c r="C52" s="252"/>
      <c r="D52" s="221"/>
      <c r="E52" s="83" t="s">
        <v>45</v>
      </c>
      <c r="F52" s="85" t="s">
        <v>100</v>
      </c>
      <c r="G52" s="116" t="s">
        <v>38</v>
      </c>
      <c r="H52" s="117" t="s">
        <v>235</v>
      </c>
      <c r="I52" s="108" t="str">
        <f t="shared" si="2"/>
        <v>Mantenimiento del control</v>
      </c>
      <c r="J52" s="105">
        <f t="shared" si="13"/>
        <v>120</v>
      </c>
      <c r="K52" s="105">
        <v>0.85123000000000004</v>
      </c>
      <c r="L52" s="105">
        <f t="shared" si="3"/>
        <v>120.85123</v>
      </c>
    </row>
    <row r="53" spans="1:17" s="49" customFormat="1" ht="83.25" thickBot="1" x14ac:dyDescent="0.3">
      <c r="A53" s="103" t="str">
        <f t="shared" si="12"/>
        <v>7g</v>
      </c>
      <c r="B53" s="225"/>
      <c r="C53" s="253"/>
      <c r="D53" s="222"/>
      <c r="E53" s="86" t="s">
        <v>47</v>
      </c>
      <c r="F53" s="87" t="s">
        <v>101</v>
      </c>
      <c r="G53" s="118" t="s">
        <v>38</v>
      </c>
      <c r="H53" s="119" t="s">
        <v>236</v>
      </c>
      <c r="I53" s="109" t="str">
        <f t="shared" si="2"/>
        <v>Mantenimiento del control</v>
      </c>
      <c r="J53" s="105">
        <f t="shared" si="13"/>
        <v>120</v>
      </c>
      <c r="K53" s="105">
        <v>0.85123400000000005</v>
      </c>
      <c r="L53" s="105">
        <f t="shared" si="3"/>
        <v>120.85123400000001</v>
      </c>
    </row>
    <row r="54" spans="1:17" s="49" customFormat="1" ht="102.75" customHeight="1" thickBot="1" x14ac:dyDescent="0.3">
      <c r="A54" s="103" t="str">
        <f>8&amp;E54</f>
        <v>8h</v>
      </c>
      <c r="B54" s="161" t="s">
        <v>102</v>
      </c>
      <c r="C54" s="162" t="s">
        <v>96</v>
      </c>
      <c r="D54" s="76" t="s">
        <v>103</v>
      </c>
      <c r="E54" s="81" t="s">
        <v>49</v>
      </c>
      <c r="F54" s="82" t="s">
        <v>104</v>
      </c>
      <c r="G54" s="112" t="s">
        <v>38</v>
      </c>
      <c r="H54" s="113" t="s">
        <v>220</v>
      </c>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23" t="s">
        <v>105</v>
      </c>
      <c r="C55" s="251" t="s">
        <v>96</v>
      </c>
      <c r="D55" s="220" t="s">
        <v>106</v>
      </c>
      <c r="E55" s="81" t="s">
        <v>34</v>
      </c>
      <c r="F55" s="82" t="s">
        <v>107</v>
      </c>
      <c r="G55" s="112" t="s">
        <v>38</v>
      </c>
      <c r="H55" s="113" t="s">
        <v>237</v>
      </c>
      <c r="I55" s="104" t="str">
        <f t="shared" si="2"/>
        <v>Mantenimiento del control</v>
      </c>
      <c r="J55" s="105">
        <f t="shared" si="13"/>
        <v>120</v>
      </c>
      <c r="K55" s="110">
        <v>0.85123455999999997</v>
      </c>
      <c r="L55" s="105">
        <f t="shared" si="3"/>
        <v>120.85123455999999</v>
      </c>
      <c r="M55" s="48"/>
      <c r="N55" s="48"/>
      <c r="O55" s="48"/>
      <c r="P55" s="48"/>
      <c r="Q55" s="48"/>
    </row>
    <row r="56" spans="1:17" s="49" customFormat="1" ht="99" x14ac:dyDescent="0.25">
      <c r="A56" s="103" t="str">
        <f t="shared" ref="A56:A59" si="14">9&amp;E56</f>
        <v>9b</v>
      </c>
      <c r="B56" s="224"/>
      <c r="C56" s="252"/>
      <c r="D56" s="221"/>
      <c r="E56" s="83" t="s">
        <v>36</v>
      </c>
      <c r="F56" s="85" t="s">
        <v>108</v>
      </c>
      <c r="G56" s="116" t="s">
        <v>75</v>
      </c>
      <c r="H56" s="117" t="s">
        <v>238</v>
      </c>
      <c r="I56" s="108" t="str">
        <f t="shared" si="2"/>
        <v>Oportunidad de mejora</v>
      </c>
      <c r="J56" s="105">
        <f t="shared" si="13"/>
        <v>100</v>
      </c>
      <c r="K56" s="110">
        <v>0.851234567</v>
      </c>
      <c r="L56" s="105">
        <f t="shared" si="3"/>
        <v>100.85123456700001</v>
      </c>
      <c r="M56" s="48"/>
      <c r="N56" s="48"/>
      <c r="O56" s="48"/>
      <c r="P56" s="48"/>
      <c r="Q56" s="48"/>
    </row>
    <row r="57" spans="1:17" s="49" customFormat="1" ht="168" customHeight="1" x14ac:dyDescent="0.25">
      <c r="A57" s="103" t="str">
        <f t="shared" si="14"/>
        <v>9c</v>
      </c>
      <c r="B57" s="224"/>
      <c r="C57" s="252"/>
      <c r="D57" s="221"/>
      <c r="E57" s="83" t="s">
        <v>39</v>
      </c>
      <c r="F57" s="85" t="s">
        <v>109</v>
      </c>
      <c r="G57" s="116" t="s">
        <v>75</v>
      </c>
      <c r="H57" s="117" t="s">
        <v>239</v>
      </c>
      <c r="I57" s="108" t="str">
        <f t="shared" si="2"/>
        <v>Oportunidad de mejora</v>
      </c>
      <c r="J57" s="105">
        <f t="shared" si="13"/>
        <v>100</v>
      </c>
      <c r="K57" s="110">
        <v>0.85123456779999995</v>
      </c>
      <c r="L57" s="105">
        <f t="shared" si="3"/>
        <v>100.85123456780001</v>
      </c>
      <c r="M57" s="48"/>
      <c r="N57" s="48"/>
      <c r="O57" s="48"/>
      <c r="P57" s="48"/>
      <c r="Q57" s="48"/>
    </row>
    <row r="58" spans="1:17" s="49" customFormat="1" ht="116.25" customHeight="1" x14ac:dyDescent="0.25">
      <c r="A58" s="103" t="str">
        <f t="shared" si="14"/>
        <v>9d</v>
      </c>
      <c r="B58" s="224"/>
      <c r="C58" s="252"/>
      <c r="D58" s="221"/>
      <c r="E58" s="83" t="s">
        <v>41</v>
      </c>
      <c r="F58" s="85" t="s">
        <v>110</v>
      </c>
      <c r="G58" s="116" t="s">
        <v>75</v>
      </c>
      <c r="H58" s="117" t="s">
        <v>240</v>
      </c>
      <c r="I58" s="108" t="str">
        <f t="shared" si="2"/>
        <v>Oportunidad de mejora</v>
      </c>
      <c r="J58" s="105">
        <f t="shared" si="13"/>
        <v>100</v>
      </c>
      <c r="K58" s="110">
        <v>0.85123456788999996</v>
      </c>
      <c r="L58" s="105">
        <f t="shared" si="3"/>
        <v>100.85123456789</v>
      </c>
      <c r="M58" s="48"/>
      <c r="N58" s="48"/>
      <c r="O58" s="48"/>
      <c r="P58" s="48"/>
      <c r="Q58" s="48"/>
    </row>
    <row r="59" spans="1:17" s="49" customFormat="1" ht="137.25" customHeight="1" thickBot="1" x14ac:dyDescent="0.3">
      <c r="A59" s="103" t="str">
        <f t="shared" si="14"/>
        <v>9e</v>
      </c>
      <c r="B59" s="225"/>
      <c r="C59" s="252"/>
      <c r="D59" s="238"/>
      <c r="E59" s="86" t="s">
        <v>43</v>
      </c>
      <c r="F59" s="87" t="s">
        <v>111</v>
      </c>
      <c r="G59" s="118" t="s">
        <v>75</v>
      </c>
      <c r="H59" s="119" t="s">
        <v>241</v>
      </c>
      <c r="I59" s="109" t="str">
        <f t="shared" si="2"/>
        <v>Oportunidad de mejora</v>
      </c>
      <c r="J59" s="105">
        <f t="shared" si="13"/>
        <v>100</v>
      </c>
      <c r="K59" s="110">
        <v>0.85123456789100005</v>
      </c>
      <c r="L59" s="105">
        <f t="shared" si="3"/>
        <v>100.851234567891</v>
      </c>
      <c r="M59" s="48"/>
      <c r="N59" s="48"/>
      <c r="O59" s="48"/>
      <c r="P59" s="48"/>
      <c r="Q59" s="48"/>
    </row>
  </sheetData>
  <sheetProtection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zoomScale="80" zoomScaleNormal="80" workbookViewId="0">
      <selection activeCell="R72" sqref="R72"/>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3" t="s">
        <v>112</v>
      </c>
      <c r="D7" s="264"/>
      <c r="E7" s="264"/>
      <c r="F7" s="264"/>
      <c r="G7" s="264"/>
      <c r="H7" s="264"/>
      <c r="I7" s="264"/>
      <c r="J7" s="264"/>
      <c r="K7" s="265"/>
    </row>
    <row r="8" spans="1:11" s="1" customFormat="1" ht="15.75" thickBot="1" x14ac:dyDescent="0.3">
      <c r="C8" s="39"/>
      <c r="D8" s="39"/>
      <c r="E8" s="40"/>
      <c r="F8" s="40"/>
      <c r="G8" s="40"/>
      <c r="H8" s="40"/>
      <c r="I8" s="50"/>
      <c r="J8" s="40"/>
      <c r="K8" s="40"/>
    </row>
    <row r="9" spans="1:11" ht="21" thickBot="1" x14ac:dyDescent="0.3">
      <c r="A9" s="1"/>
      <c r="B9" s="1"/>
      <c r="C9" s="172" t="s">
        <v>15</v>
      </c>
      <c r="D9" s="173"/>
      <c r="E9" s="173" t="s">
        <v>16</v>
      </c>
      <c r="F9" s="184"/>
      <c r="G9" s="40"/>
      <c r="H9" s="40"/>
      <c r="I9" s="50"/>
      <c r="J9" s="40"/>
      <c r="K9" s="40"/>
    </row>
    <row r="10" spans="1:11" ht="54" customHeight="1" x14ac:dyDescent="0.25">
      <c r="A10" s="1"/>
      <c r="B10" s="1"/>
      <c r="C10" s="185" t="s">
        <v>17</v>
      </c>
      <c r="D10" s="186"/>
      <c r="E10" s="187" t="s">
        <v>18</v>
      </c>
      <c r="F10" s="188"/>
      <c r="G10" s="41"/>
      <c r="H10" s="42">
        <v>1</v>
      </c>
      <c r="I10" s="50"/>
      <c r="J10" s="40"/>
      <c r="K10" s="40"/>
    </row>
    <row r="11" spans="1:11" ht="46.5" customHeight="1" x14ac:dyDescent="0.25">
      <c r="A11" s="1"/>
      <c r="B11" s="1"/>
      <c r="C11" s="174" t="s">
        <v>19</v>
      </c>
      <c r="D11" s="175"/>
      <c r="E11" s="176" t="s">
        <v>113</v>
      </c>
      <c r="F11" s="177"/>
      <c r="G11" s="43" t="s">
        <v>114</v>
      </c>
      <c r="H11" s="42">
        <v>0.75</v>
      </c>
      <c r="I11" s="50"/>
      <c r="J11" s="40"/>
      <c r="K11" s="40"/>
    </row>
    <row r="12" spans="1:11" ht="70.5" customHeight="1" thickBot="1" x14ac:dyDescent="0.3">
      <c r="A12" s="1"/>
      <c r="B12" s="1"/>
      <c r="C12" s="178" t="s">
        <v>21</v>
      </c>
      <c r="D12" s="179"/>
      <c r="E12" s="180" t="s">
        <v>115</v>
      </c>
      <c r="F12" s="181"/>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1" t="s">
        <v>116</v>
      </c>
      <c r="D17" s="273" t="s">
        <v>117</v>
      </c>
      <c r="E17" s="274"/>
      <c r="F17" s="275" t="s">
        <v>118</v>
      </c>
      <c r="G17" s="277" t="s">
        <v>119</v>
      </c>
      <c r="H17" s="38"/>
      <c r="I17" s="266" t="s">
        <v>120</v>
      </c>
      <c r="J17" s="266" t="s">
        <v>121</v>
      </c>
    </row>
    <row r="18" spans="1:10" ht="36" customHeight="1" thickBot="1" x14ac:dyDescent="0.3">
      <c r="A18" s="1"/>
      <c r="B18" s="1"/>
      <c r="C18" s="272"/>
      <c r="D18" s="121" t="s">
        <v>122</v>
      </c>
      <c r="E18" s="122" t="s">
        <v>27</v>
      </c>
      <c r="F18" s="276"/>
      <c r="G18" s="278"/>
      <c r="H18" s="38"/>
      <c r="I18" s="267"/>
      <c r="J18" s="267"/>
    </row>
    <row r="19" spans="1:10" ht="65.25" customHeight="1" x14ac:dyDescent="0.25">
      <c r="A19" s="1"/>
      <c r="B19" s="1"/>
      <c r="C19" s="140">
        <v>1</v>
      </c>
      <c r="D19" s="268" t="s">
        <v>32</v>
      </c>
      <c r="E19" s="123" t="str">
        <f>+IFERROR(INDEX(Hoja1!$E$2:$E$45,MATCH('Análisis Resultados'!C19,Hoja1!$H$2:$H$45,0)),"")</f>
        <v>Procesos de inducción, capacitación y bienestar social para sus servidores públicos, de manera directa o en asociación con otras entidades municipales</v>
      </c>
      <c r="F19" s="124" t="str">
        <f>+IFERROR(VLOOKUP(C19,Hoja1!$H$2:$I$45,2,0),"")</f>
        <v>En proceso</v>
      </c>
      <c r="G19" s="125"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41">
        <f>+IF(F19="Si",1,IF(F19="En proceso",0.5,0))</f>
        <v>0.5</v>
      </c>
      <c r="J19" s="281">
        <f>+AVERAGE(I19:I30)</f>
        <v>0.91666666666666663</v>
      </c>
    </row>
    <row r="20" spans="1:10" ht="33.75" x14ac:dyDescent="0.25">
      <c r="A20" s="1"/>
      <c r="B20" s="1"/>
      <c r="C20" s="140">
        <v>2</v>
      </c>
      <c r="D20" s="269"/>
      <c r="E20" s="126" t="str">
        <f>+IFERROR(INDEX(Hoja1!$E$2:$E$45,MATCH('Análisis Resultados'!C20,Hoja1!$H$2:$H$45,0)),"")</f>
        <v>Procesos de desvinculación de servidores de acuerdo con lo previsto en la Constitución Política y las leyes</v>
      </c>
      <c r="F20" s="127" t="str">
        <f>+IFERROR(VLOOKUP(C20,Hoja1!$H$2:$I$45,2,0),"")</f>
        <v>En proceso</v>
      </c>
      <c r="G20" s="128"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18"/>
      <c r="I20" s="142">
        <f t="shared" ref="I20:I62" si="1">+IF(F20="Si",1,IF(F20="En proceso",0.5,0))</f>
        <v>0.5</v>
      </c>
      <c r="J20" s="282"/>
    </row>
    <row r="21" spans="1:10" ht="45" x14ac:dyDescent="0.25">
      <c r="A21" s="1"/>
      <c r="B21" s="1"/>
      <c r="C21" s="140">
        <v>3</v>
      </c>
      <c r="D21" s="269"/>
      <c r="E21" s="126" t="str">
        <f>+IFERROR(INDEX(Hoja1!$E$2:$E$45,MATCH('Análisis Resultados'!C21,Hoja1!$H$2:$H$45,0)),"")</f>
        <v>Documento interno o adopción del MECI actualizado</v>
      </c>
      <c r="F21" s="127" t="str">
        <f>+IFERROR(VLOOKUP(C21,Hoja1!$H$2:$I$45,2,0),"")</f>
        <v>Si</v>
      </c>
      <c r="G21" s="128" t="str">
        <f t="shared" si="0"/>
        <v>Existe requerimiento pero se requiere actividades  dirigidas a su mantenimiento dentro del marco de las lineas de defensa.</v>
      </c>
      <c r="H21" s="18"/>
      <c r="I21" s="142">
        <f t="shared" si="1"/>
        <v>1</v>
      </c>
      <c r="J21" s="282"/>
    </row>
    <row r="22" spans="1:10" ht="56.25" customHeight="1" x14ac:dyDescent="0.25">
      <c r="A22" s="1"/>
      <c r="B22" s="1"/>
      <c r="C22" s="140">
        <v>4</v>
      </c>
      <c r="D22" s="269"/>
      <c r="E22" s="126" t="str">
        <f>+IFERROR(INDEX(Hoja1!$E$2:$E$45,MATCH('Análisis Resultados'!C22,Hoja1!$H$2:$H$45,0)),"")</f>
        <v>Un documento tal como un código de ética, integridad u otro que formalice los estándares de conducta, los principios institucionales o los valores del servicio público</v>
      </c>
      <c r="F22" s="127" t="str">
        <f>+IFERROR(VLOOKUP(C22,Hoja1!$H$2:$I$45,2,0),"")</f>
        <v>Si</v>
      </c>
      <c r="G22" s="128" t="str">
        <f t="shared" si="0"/>
        <v>Existe requerimiento pero se requiere actividades  dirigidas a su mantenimiento dentro del marco de las lineas de defensa.</v>
      </c>
      <c r="H22" s="18"/>
      <c r="I22" s="142">
        <f t="shared" si="1"/>
        <v>1</v>
      </c>
      <c r="J22" s="282"/>
    </row>
    <row r="23" spans="1:10" ht="45" x14ac:dyDescent="0.25">
      <c r="A23" s="1"/>
      <c r="B23" s="1"/>
      <c r="C23" s="140">
        <v>5</v>
      </c>
      <c r="D23" s="269"/>
      <c r="E23" s="126" t="str">
        <f>+IFERROR(INDEX(Hoja1!$E$2:$E$45,MATCH('Análisis Resultados'!C23,Hoja1!$H$2:$H$45,0)),"")</f>
        <v>Planes, programas y proyectos de acuerdo con las normas que rigen y atendiendo con su propósito fundamental institucional (misión)</v>
      </c>
      <c r="F23" s="127" t="str">
        <f>+IFERROR(VLOOKUP(C23,Hoja1!$H$2:$I$45,2,0),"")</f>
        <v>Si</v>
      </c>
      <c r="G23" s="128" t="str">
        <f t="shared" si="0"/>
        <v>Existe requerimiento pero se requiere actividades  dirigidas a su mantenimiento dentro del marco de las lineas de defensa.</v>
      </c>
      <c r="H23" s="18"/>
      <c r="I23" s="142">
        <f t="shared" si="1"/>
        <v>1</v>
      </c>
      <c r="J23" s="282"/>
    </row>
    <row r="24" spans="1:10" ht="45" x14ac:dyDescent="0.25">
      <c r="A24" s="1"/>
      <c r="B24" s="1"/>
      <c r="C24" s="140">
        <v>6</v>
      </c>
      <c r="D24" s="269"/>
      <c r="E24" s="126" t="str">
        <f>+IFERROR(INDEX(Hoja1!$E$2:$E$45,MATCH('Análisis Resultados'!C24,Hoja1!$H$2:$H$45,0)),"")</f>
        <v>Una estructura organizacional formalizada (organigrama)</v>
      </c>
      <c r="F24" s="127" t="str">
        <f>+IFERROR(VLOOKUP(C24,Hoja1!$H$2:$I$45,2,0),"")</f>
        <v>Si</v>
      </c>
      <c r="G24" s="128" t="str">
        <f t="shared" si="0"/>
        <v>Existe requerimiento pero se requiere actividades  dirigidas a su mantenimiento dentro del marco de las lineas de defensa.</v>
      </c>
      <c r="H24" s="18"/>
      <c r="I24" s="142">
        <f t="shared" si="1"/>
        <v>1</v>
      </c>
      <c r="J24" s="282"/>
    </row>
    <row r="25" spans="1:10" ht="45" x14ac:dyDescent="0.25">
      <c r="A25" s="1"/>
      <c r="B25" s="1"/>
      <c r="C25" s="140">
        <v>7</v>
      </c>
      <c r="D25" s="269"/>
      <c r="E25" s="126" t="str">
        <f>+IFERROR(INDEX(Hoja1!$E$2:$E$45,MATCH('Análisis Resultados'!C25,Hoja1!$H$2:$H$45,0)),"")</f>
        <v>Un manual de funciones que describa los empleos de la entidad</v>
      </c>
      <c r="F25" s="127" t="str">
        <f>+IFERROR(VLOOKUP(C25,Hoja1!$H$2:$I$45,2,0),"")</f>
        <v>Si</v>
      </c>
      <c r="G25" s="128" t="str">
        <f t="shared" si="0"/>
        <v>Existe requerimiento pero se requiere actividades  dirigidas a su mantenimiento dentro del marco de las lineas de defensa.</v>
      </c>
      <c r="H25" s="18"/>
      <c r="I25" s="142">
        <f t="shared" si="1"/>
        <v>1</v>
      </c>
      <c r="J25" s="282"/>
    </row>
    <row r="26" spans="1:10" ht="45" x14ac:dyDescent="0.25">
      <c r="A26" s="1"/>
      <c r="B26" s="1"/>
      <c r="C26" s="140">
        <v>8</v>
      </c>
      <c r="D26" s="269"/>
      <c r="E26" s="126" t="str">
        <f>+IFERROR(INDEX(Hoja1!$E$2:$E$45,MATCH('Análisis Resultados'!C26,Hoja1!$H$2:$H$45,0)),"")</f>
        <v>La documentación de sus procesos y procedimientos o bien una lista de actividades principales que permitan conocer el estado de su gestión</v>
      </c>
      <c r="F26" s="127" t="str">
        <f>+IFERROR(VLOOKUP(C26,Hoja1!$H$2:$I$45,2,0),"")</f>
        <v>Si</v>
      </c>
      <c r="G26" s="128" t="str">
        <f t="shared" si="0"/>
        <v>Existe requerimiento pero se requiere actividades  dirigidas a su mantenimiento dentro del marco de las lineas de defensa.</v>
      </c>
      <c r="H26" s="18"/>
      <c r="I26" s="142">
        <f t="shared" si="1"/>
        <v>1</v>
      </c>
      <c r="J26" s="282"/>
    </row>
    <row r="27" spans="1:10" ht="45" x14ac:dyDescent="0.25">
      <c r="A27" s="1"/>
      <c r="B27" s="1"/>
      <c r="C27" s="140">
        <v>9</v>
      </c>
      <c r="D27" s="269"/>
      <c r="E27" s="126" t="str">
        <f>+IFERROR(INDEX(Hoja1!$E$2:$E$45,MATCH('Análisis Resultados'!C27,Hoja1!$H$2:$H$45,0)),"")</f>
        <v>Vinculación de los servidores públicos de acuerdo con el marco normativo que les rige (carrera administrativa, libre nombramiento y remoción, entre otros)</v>
      </c>
      <c r="F27" s="127" t="str">
        <f>+IFERROR(VLOOKUP(C27,Hoja1!$H$2:$I$45,2,0),"")</f>
        <v>Si</v>
      </c>
      <c r="G27" s="128" t="str">
        <f t="shared" si="0"/>
        <v>Existe requerimiento pero se requiere actividades  dirigidas a su mantenimiento dentro del marco de las lineas de defensa.</v>
      </c>
      <c r="H27" s="18"/>
      <c r="I27" s="142">
        <f t="shared" si="1"/>
        <v>1</v>
      </c>
      <c r="J27" s="282"/>
    </row>
    <row r="28" spans="1:10" ht="45" x14ac:dyDescent="0.25">
      <c r="A28" s="1"/>
      <c r="B28" s="1"/>
      <c r="C28" s="140">
        <v>10</v>
      </c>
      <c r="D28" s="269"/>
      <c r="E28" s="126" t="str">
        <f>+IFERROR(INDEX(Hoja1!$E$2:$E$45,MATCH('Análisis Resultados'!C28,Hoja1!$H$2:$H$45,0)),"")</f>
        <v>Evaluación a los servidores públicos de acuerdo con el marco normativo que le rige</v>
      </c>
      <c r="F28" s="127" t="str">
        <f>+IFERROR(VLOOKUP(C28,Hoja1!$H$2:$I$45,2,0),"")</f>
        <v>Si</v>
      </c>
      <c r="G28" s="128" t="str">
        <f t="shared" si="0"/>
        <v>Existe requerimiento pero se requiere actividades  dirigidas a su mantenimiento dentro del marco de las lineas de defensa.</v>
      </c>
      <c r="H28" s="18"/>
      <c r="I28" s="142">
        <f t="shared" si="1"/>
        <v>1</v>
      </c>
      <c r="J28" s="282"/>
    </row>
    <row r="29" spans="1:10" ht="45" x14ac:dyDescent="0.25">
      <c r="A29" s="1"/>
      <c r="B29" s="1"/>
      <c r="C29" s="140">
        <v>11</v>
      </c>
      <c r="D29" s="269"/>
      <c r="E29" s="126" t="str">
        <f>+IFERROR(INDEX(Hoja1!$E$2:$E$45,MATCH('Análisis Resultados'!C29,Hoja1!$H$2:$H$45,0)),"")</f>
        <v>Mecanismos de rendición de cuentas a la ciudadanía</v>
      </c>
      <c r="F29" s="127" t="str">
        <f>+IFERROR(VLOOKUP(C29,Hoja1!$H$2:$I$45,2,0),"")</f>
        <v>Si</v>
      </c>
      <c r="G29" s="128"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2">
        <f t="shared" si="1"/>
        <v>1</v>
      </c>
      <c r="J29" s="282"/>
    </row>
    <row r="30" spans="1:10" ht="45.75" thickBot="1" x14ac:dyDescent="0.3">
      <c r="A30" s="1"/>
      <c r="B30" s="1"/>
      <c r="C30" s="140">
        <v>12</v>
      </c>
      <c r="D30" s="270"/>
      <c r="E30" s="129" t="str">
        <f>+IFERROR(INDEX(Hoja1!$E$2:$E$45,MATCH('Análisis Resultados'!C30,Hoja1!$H$2:$H$45,0)),"")</f>
        <v>Presentación oportuna de sus informes de gestión a las autoridades competentes</v>
      </c>
      <c r="F30" s="130" t="str">
        <f>+IFERROR(VLOOKUP(C30,Hoja1!$H$2:$I$45,2,0),"")</f>
        <v>Si</v>
      </c>
      <c r="G30" s="131" t="str">
        <f t="shared" si="0"/>
        <v>Existe requerimiento pero se requiere actividades  dirigidas a su mantenimiento dentro del marco de las lineas de defensa.</v>
      </c>
      <c r="H30" s="18"/>
      <c r="I30" s="143">
        <f t="shared" si="1"/>
        <v>1</v>
      </c>
      <c r="J30" s="283"/>
    </row>
    <row r="31" spans="1:10" ht="45" customHeight="1" x14ac:dyDescent="0.25">
      <c r="A31" s="1"/>
      <c r="B31" s="1"/>
      <c r="C31" s="140">
        <v>13</v>
      </c>
      <c r="D31" s="295" t="s">
        <v>60</v>
      </c>
      <c r="E31" s="123" t="str">
        <f>+IFERROR(INDEX(Hoja1!$E$2:$E$45,MATCH('Análisis Resultados'!C31,Hoja1!$H$2:$H$45,0)),"")</f>
        <v>La identificación de cambios en su entorno que pueden generar consecuencias negativas en su gestión</v>
      </c>
      <c r="F31" s="124" t="str">
        <f>+IFERROR(VLOOKUP(C31,Hoja1!$H$2:$I$45,2,0),"")</f>
        <v>En proceso</v>
      </c>
      <c r="G31" s="125" t="str">
        <f t="shared" si="0"/>
        <v>Se encuentra en proceso, pero requiere continuar con acciones dirigidas a contar con dicho aspecto de control.</v>
      </c>
      <c r="H31" s="18"/>
      <c r="I31" s="141">
        <f t="shared" si="1"/>
        <v>0.5</v>
      </c>
      <c r="J31" s="279">
        <f>+AVERAGE(I31:I40)</f>
        <v>0.55000000000000004</v>
      </c>
    </row>
    <row r="32" spans="1:10" ht="57" customHeight="1" x14ac:dyDescent="0.25">
      <c r="A32" s="1"/>
      <c r="B32" s="1"/>
      <c r="C32" s="140">
        <v>14</v>
      </c>
      <c r="D32" s="296"/>
      <c r="E32" s="126" t="str">
        <f>+IFERROR(INDEX(Hoja1!$E$2:$E$45,MATCH('Análisis Resultados'!C32,Hoja1!$H$2:$H$45,0)),"")</f>
        <v>La identificación de aquellos problemas o aspectos que pueden afectar el cumplimiento de los planes de la entidad y en general su gestión institucional (riesgos)</v>
      </c>
      <c r="F32" s="127" t="str">
        <f>+IFERROR(VLOOKUP(C32,Hoja1!$H$2:$I$45,2,0),"")</f>
        <v>En proceso</v>
      </c>
      <c r="G32" s="128" t="str">
        <f t="shared" si="0"/>
        <v>Se encuentra en proceso, pero requiere continuar con acciones dirigidas a contar con dicho aspecto de control.</v>
      </c>
      <c r="H32" s="18"/>
      <c r="I32" s="142">
        <f t="shared" si="1"/>
        <v>0.5</v>
      </c>
      <c r="J32" s="280"/>
    </row>
    <row r="33" spans="1:10" ht="54" customHeight="1" x14ac:dyDescent="0.25">
      <c r="A33" s="1"/>
      <c r="B33" s="1"/>
      <c r="C33" s="140">
        <v>15</v>
      </c>
      <c r="D33" s="296"/>
      <c r="E33" s="126" t="str">
        <f>+IFERROR(INDEX(Hoja1!$E$2:$E$45,MATCH('Análisis Resultados'!C33,Hoja1!$H$2:$H$45,0)),"")</f>
        <v>Si su capacidad e infraestructura lo permite, identificación de riesgos asociados a las tecnologías de la información y las comunicaciones</v>
      </c>
      <c r="F33" s="127" t="str">
        <f>+IFERROR(VLOOKUP(C33,Hoja1!$H$2:$I$45,2,0),"")</f>
        <v>En proceso</v>
      </c>
      <c r="G33" s="128" t="str">
        <f t="shared" si="0"/>
        <v>Se encuentra en proceso, pero requiere continuar con acciones dirigidas a contar con dicho aspecto de control.</v>
      </c>
      <c r="H33" s="18"/>
      <c r="I33" s="142">
        <f t="shared" si="1"/>
        <v>0.5</v>
      </c>
      <c r="J33" s="280"/>
    </row>
    <row r="34" spans="1:10" ht="42.75" x14ac:dyDescent="0.25">
      <c r="A34" s="1"/>
      <c r="B34" s="1"/>
      <c r="C34" s="140">
        <v>16</v>
      </c>
      <c r="D34" s="296"/>
      <c r="E34" s="126" t="str">
        <f>+IFERROR(INDEX(Hoja1!$E$2:$E$45,MATCH('Análisis Resultados'!C34,Hoja1!$H$2:$H$45,0)),"")</f>
        <v>Hacen seguimiento a los problemas (riesgos)  que pueden afectar el cumplimiento de sus procesos, programas o proyectos a cargo</v>
      </c>
      <c r="F34" s="127" t="str">
        <f>+IFERROR(VLOOKUP(C34,Hoja1!$H$2:$I$45,2,0),"")</f>
        <v>En proceso</v>
      </c>
      <c r="G34" s="128" t="str">
        <f t="shared" si="0"/>
        <v>Se encuentra en proceso, pero requiere continuar con acciones dirigidas a contar con dicho aspecto de control.</v>
      </c>
      <c r="H34" s="18"/>
      <c r="I34" s="142">
        <f t="shared" si="1"/>
        <v>0.5</v>
      </c>
      <c r="J34" s="280"/>
    </row>
    <row r="35" spans="1:10" ht="67.5" customHeight="1" x14ac:dyDescent="0.25">
      <c r="A35" s="1"/>
      <c r="B35" s="1"/>
      <c r="C35" s="140">
        <v>17</v>
      </c>
      <c r="D35" s="296"/>
      <c r="E35" s="126" t="str">
        <f>+IFERROR(INDEX(Hoja1!$E$2:$E$45,MATCH('Análisis Resultados'!C35,Hoja1!$H$2:$H$45,0)),"")</f>
        <v>Informan de manera periódica a quien corresponda sobre el desempeño de las actividades de gestión de riesgos</v>
      </c>
      <c r="F35" s="127" t="str">
        <f>+IFERROR(VLOOKUP(C35,Hoja1!$H$2:$I$45,2,0),"")</f>
        <v>En proceso</v>
      </c>
      <c r="G35" s="128" t="str">
        <f t="shared" si="0"/>
        <v>Se encuentra en proceso, pero requiere continuar con acciones dirigidas a contar con dicho aspecto de control.</v>
      </c>
      <c r="H35" s="18"/>
      <c r="I35" s="142">
        <f t="shared" si="1"/>
        <v>0.5</v>
      </c>
      <c r="J35" s="280"/>
    </row>
    <row r="36" spans="1:10" ht="42.75" x14ac:dyDescent="0.25">
      <c r="A36" s="1"/>
      <c r="B36" s="1"/>
      <c r="C36" s="140">
        <v>18</v>
      </c>
      <c r="D36" s="296"/>
      <c r="E36" s="126" t="str">
        <f>+IFERROR(INDEX(Hoja1!$E$2:$E$45,MATCH('Análisis Resultados'!C36,Hoja1!$H$2:$H$45,0)),"")</f>
        <v>Identifican deficiencias en las maneras de  controlar los riesgos o problemas en sus procesos, programas o proyectos, y propone los ajustes necesarios</v>
      </c>
      <c r="F36" s="127" t="str">
        <f>+IFERROR(VLOOKUP(C36,Hoja1!$H$2:$I$45,2,0),"")</f>
        <v>En proceso</v>
      </c>
      <c r="G36" s="128" t="str">
        <f t="shared" si="0"/>
        <v>Se encuentra en proceso, pero requiere continuar con acciones dirigidas a contar con dicho aspecto de control.</v>
      </c>
      <c r="H36" s="18"/>
      <c r="I36" s="142">
        <f t="shared" si="1"/>
        <v>0.5</v>
      </c>
      <c r="J36" s="280"/>
    </row>
    <row r="37" spans="1:10" ht="57" customHeight="1" x14ac:dyDescent="0.25">
      <c r="A37" s="1"/>
      <c r="B37" s="1"/>
      <c r="C37" s="140">
        <v>19</v>
      </c>
      <c r="D37" s="296"/>
      <c r="E37" s="126" t="str">
        <f>+IFERROR(INDEX(Hoja1!$E$2:$E$45,MATCH('Análisis Resultados'!C37,Hoja1!$H$2:$H$45,0)),"")</f>
        <v>Se definen espacios de reunión para conocerlos y proponer acciones para su solución</v>
      </c>
      <c r="F37" s="127" t="str">
        <f>+IFERROR(VLOOKUP(C37,Hoja1!$H$2:$I$45,2,0),"")</f>
        <v>En proceso</v>
      </c>
      <c r="G37" s="128" t="str">
        <f t="shared" si="0"/>
        <v>Se encuentra en proceso, pero requiere continuar con acciones dirigidas a contar con dicho aspecto de control.</v>
      </c>
      <c r="H37" s="18"/>
      <c r="I37" s="142">
        <f t="shared" si="1"/>
        <v>0.5</v>
      </c>
      <c r="J37" s="280"/>
    </row>
    <row r="38" spans="1:10" ht="33.75" x14ac:dyDescent="0.25">
      <c r="A38" s="1"/>
      <c r="B38" s="1"/>
      <c r="C38" s="140">
        <v>20</v>
      </c>
      <c r="D38" s="296"/>
      <c r="E38" s="126" t="str">
        <f>+IFERROR(INDEX(Hoja1!$E$2:$E$45,MATCH('Análisis Resultados'!C38,Hoja1!$H$2:$H$45,0)),"")</f>
        <v>Cada líder del equipo autónomamente toma las acciones para solucionarlos.</v>
      </c>
      <c r="F38" s="127" t="str">
        <f>+IFERROR(VLOOKUP(C38,Hoja1!$H$2:$I$45,2,0),"")</f>
        <v>En proceso</v>
      </c>
      <c r="G38" s="128" t="str">
        <f t="shared" si="0"/>
        <v>Se encuentra en proceso, pero requiere continuar con acciones dirigidas a contar con dicho aspecto de control.</v>
      </c>
      <c r="H38" s="18"/>
      <c r="I38" s="142">
        <f t="shared" si="1"/>
        <v>0.5</v>
      </c>
      <c r="J38" s="280"/>
    </row>
    <row r="39" spans="1:10" ht="33.75" x14ac:dyDescent="0.25">
      <c r="A39" s="1"/>
      <c r="B39" s="1"/>
      <c r="C39" s="140">
        <v>21</v>
      </c>
      <c r="D39" s="296"/>
      <c r="E39" s="126" t="str">
        <f>+IFERROR(INDEX(Hoja1!$E$2:$E$45,MATCH('Análisis Resultados'!C39,Hoja1!$H$2:$H$45,0)),"")</f>
        <v>Solamente hasta que un organismo de control actúa se definen acciones de mejora.</v>
      </c>
      <c r="F39" s="127" t="str">
        <f>+IFERROR(VLOOKUP(C39,Hoja1!$H$2:$I$45,2,0),"")</f>
        <v>En proceso</v>
      </c>
      <c r="G39" s="128" t="str">
        <f t="shared" si="0"/>
        <v>Se encuentra en proceso, pero requiere continuar con acciones dirigidas a contar con dicho aspecto de control.</v>
      </c>
      <c r="H39" s="18"/>
      <c r="I39" s="142">
        <f t="shared" si="1"/>
        <v>0.5</v>
      </c>
      <c r="J39" s="280"/>
    </row>
    <row r="40" spans="1:10" ht="45.75" thickBot="1" x14ac:dyDescent="0.3">
      <c r="A40" s="1"/>
      <c r="B40" s="1"/>
      <c r="C40" s="140">
        <v>22</v>
      </c>
      <c r="D40" s="296"/>
      <c r="E40" s="132" t="str">
        <f>+IFERROR(INDEX(Hoja1!$E$2:$E$45,MATCH('Análisis Resultados'!C40,Hoja1!$H$2:$H$45,0)),"")</f>
        <v>La identificación  de los riesgos relacionados con posibles actos de corrupción en el ejercicio de sus funciones</v>
      </c>
      <c r="F40" s="133" t="str">
        <f>+IFERROR(VLOOKUP(C40,Hoja1!$H$2:$I$45,2,0),"")</f>
        <v>Si</v>
      </c>
      <c r="G40" s="134" t="str">
        <f t="shared" si="0"/>
        <v>Existe requerimiento pero se requiere actividades  dirigidas a su mantenimiento dentro del marco de las lineas de defensa.</v>
      </c>
      <c r="H40" s="18"/>
      <c r="I40" s="144">
        <f t="shared" si="1"/>
        <v>1</v>
      </c>
      <c r="J40" s="280"/>
    </row>
    <row r="41" spans="1:10" ht="87.75" customHeight="1" x14ac:dyDescent="0.25">
      <c r="A41" s="1"/>
      <c r="B41" s="1"/>
      <c r="C41" s="140">
        <v>23</v>
      </c>
      <c r="D41" s="291" t="s">
        <v>78</v>
      </c>
      <c r="E41" s="123" t="str">
        <f>+IFERROR(INDEX(Hoja1!$E$2:$E$45,MATCH('Análisis Resultados'!C41,Hoja1!$H$2:$H$45,0)),"")</f>
        <v>La definición de acciones o actividades para para dar tratamiento a los problemas identificados (mitigación de riesgos), incluyendo aquellos asociados a posibles actos de corrupción</v>
      </c>
      <c r="F41" s="124" t="str">
        <f>+IFERROR(VLOOKUP(C41,Hoja1!$H$2:$I$45,2,0),"")</f>
        <v>En proceso</v>
      </c>
      <c r="G41" s="125" t="str">
        <f t="shared" si="0"/>
        <v>Se encuentra en proceso, pero requiere continuar con acciones dirigidas a contar con dicho aspecto de control.</v>
      </c>
      <c r="H41" s="18"/>
      <c r="I41" s="141">
        <f t="shared" si="1"/>
        <v>0.5</v>
      </c>
      <c r="J41" s="279">
        <f>+AVERAGE(I41:I45)</f>
        <v>0.7</v>
      </c>
    </row>
    <row r="42" spans="1:10" ht="57" x14ac:dyDescent="0.25">
      <c r="A42" s="1"/>
      <c r="B42" s="1"/>
      <c r="C42" s="140">
        <v>24</v>
      </c>
      <c r="D42" s="292"/>
      <c r="E42" s="126" t="str">
        <f>+IFERROR(INDEX(Hoja1!$E$2:$E$45,MATCH('Análisis Resultados'!C42,Hoja1!$H$2:$H$45,0)),"")</f>
        <v>Mecanismos de verificación de si se están o no mitigando los riesgos, o en su defecto, elaboración de planes de contingencia para subsanar sus consecuencias</v>
      </c>
      <c r="F42" s="127" t="str">
        <f>+IFERROR(VLOOKUP(C42,Hoja1!$H$2:$I$45,2,0),"")</f>
        <v>En proceso</v>
      </c>
      <c r="G42" s="128" t="str">
        <f t="shared" si="0"/>
        <v>Se encuentra en proceso, pero requiere continuar con acciones dirigidas a contar con dicho aspecto de control.</v>
      </c>
      <c r="H42" s="18"/>
      <c r="I42" s="142">
        <f t="shared" si="1"/>
        <v>0.5</v>
      </c>
      <c r="J42" s="280"/>
    </row>
    <row r="43" spans="1:10" ht="85.5" customHeight="1" x14ac:dyDescent="0.25">
      <c r="A43" s="1"/>
      <c r="B43" s="1"/>
      <c r="C43" s="140">
        <v>25</v>
      </c>
      <c r="D43" s="292"/>
      <c r="E43" s="126" t="str">
        <f>+IFERROR(INDEX(Hoja1!$E$2:$E$45,MATCH('Análisis Resultados'!C43,Hoja1!$H$2:$H$45,0)),"")</f>
        <v>Planes, acciones o estrategias que permitan subsanar las consecuencias de la materialización de los riesgos, cuando se presentan</v>
      </c>
      <c r="F43" s="127" t="str">
        <f>+IFERROR(VLOOKUP(C43,Hoja1!$H$2:$I$45,2,0),"")</f>
        <v>En proceso</v>
      </c>
      <c r="G43" s="128" t="str">
        <f t="shared" si="0"/>
        <v>Se encuentra en proceso, pero requiere continuar con acciones dirigidas a contar con dicho aspecto de control.</v>
      </c>
      <c r="H43" s="18"/>
      <c r="I43" s="142">
        <f t="shared" si="1"/>
        <v>0.5</v>
      </c>
      <c r="J43" s="280"/>
    </row>
    <row r="44" spans="1:10" ht="57" customHeight="1" x14ac:dyDescent="0.25">
      <c r="A44" s="1"/>
      <c r="B44" s="1"/>
      <c r="C44" s="140">
        <v>26</v>
      </c>
      <c r="D44" s="292"/>
      <c r="E44" s="126"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7" t="str">
        <f>+IFERROR(VLOOKUP(C44,Hoja1!$H$2:$I$45,2,0),"")</f>
        <v>Si</v>
      </c>
      <c r="G44" s="128" t="str">
        <f t="shared" si="0"/>
        <v>Existe requerimiento pero se requiere actividades  dirigidas a su mantenimiento dentro del marco de las lineas de defensa.</v>
      </c>
      <c r="H44" s="18"/>
      <c r="I44" s="142">
        <f t="shared" si="1"/>
        <v>1</v>
      </c>
      <c r="J44" s="280"/>
    </row>
    <row r="45" spans="1:10" ht="57" customHeight="1" thickBot="1" x14ac:dyDescent="0.3">
      <c r="A45" s="1"/>
      <c r="B45" s="1"/>
      <c r="C45" s="140">
        <v>27</v>
      </c>
      <c r="D45" s="293"/>
      <c r="E45" s="129" t="str">
        <f>+IFERROR(INDEX(Hoja1!$E$2:$E$45,MATCH('Análisis Resultados'!C45,Hoja1!$H$2:$H$45,0)),"")</f>
        <v>Un plan anticorrupción y de servicio al ciudadano con los temas que le aplican, publicado en algún medio para conocimiento de la ciudadanía</v>
      </c>
      <c r="F45" s="130" t="str">
        <f>+IFERROR(VLOOKUP(C45,Hoja1!$H$2:$I$45,2,0),"")</f>
        <v>Si</v>
      </c>
      <c r="G45" s="131" t="str">
        <f t="shared" si="0"/>
        <v>Existe requerimiento pero se requiere actividades  dirigidas a su mantenimiento dentro del marco de las lineas de defensa.</v>
      </c>
      <c r="H45" s="18"/>
      <c r="I45" s="143">
        <f t="shared" si="1"/>
        <v>1</v>
      </c>
      <c r="J45" s="294"/>
    </row>
    <row r="46" spans="1:10" ht="63.75" customHeight="1" x14ac:dyDescent="0.25">
      <c r="A46" s="1"/>
      <c r="B46" s="1"/>
      <c r="C46" s="140">
        <v>28</v>
      </c>
      <c r="D46" s="290" t="s">
        <v>86</v>
      </c>
      <c r="E46" s="135" t="str">
        <f>+IFERROR(INDEX(Hoja1!$E$2:$E$45,MATCH('Análisis Resultados'!C46,Hoja1!$H$2:$H$45,0)),"")</f>
        <v>Si su capacidad e infraestructura lo permite, tecnologías de la información y las comunicaciones que soporten estos procesos</v>
      </c>
      <c r="F46" s="136" t="str">
        <f>+IFERROR(VLOOKUP(C46,Hoja1!$H$2:$I$45,2,0),"")</f>
        <v>En proceso</v>
      </c>
      <c r="G46" s="137" t="str">
        <f t="shared" si="0"/>
        <v>Se encuentra en proceso, pero requiere continuar con acciones dirigidas a contar con dicho aspecto de control.</v>
      </c>
      <c r="H46" s="18"/>
      <c r="I46" s="145">
        <f t="shared" si="1"/>
        <v>0.5</v>
      </c>
      <c r="J46" s="280">
        <f>+AVERAGE(I46:I52)</f>
        <v>0.9285714285714286</v>
      </c>
    </row>
    <row r="47" spans="1:10" ht="92.25" customHeight="1" x14ac:dyDescent="0.25">
      <c r="A47" s="1"/>
      <c r="B47" s="1"/>
      <c r="C47" s="140">
        <v>29</v>
      </c>
      <c r="D47" s="290"/>
      <c r="E47" s="126" t="str">
        <f>+IFERROR(INDEX(Hoja1!$E$2:$E$45,MATCH('Análisis Resultados'!C47,Hoja1!$H$2:$H$45,0)),"")</f>
        <v>Responsables de la información institucional</v>
      </c>
      <c r="F47" s="127" t="str">
        <f>+IFERROR(VLOOKUP(C47,Hoja1!$H$2:$I$45,2,0),"")</f>
        <v>Si</v>
      </c>
      <c r="G47" s="138" t="str">
        <f t="shared" si="0"/>
        <v>Existe requerimiento pero se requiere actividades  dirigidas a su mantenimiento dentro del marco de las lineas de defensa.</v>
      </c>
      <c r="H47" s="18"/>
      <c r="I47" s="146">
        <f t="shared" si="1"/>
        <v>1</v>
      </c>
      <c r="J47" s="280"/>
    </row>
    <row r="48" spans="1:10" ht="66.75" customHeight="1" x14ac:dyDescent="0.25">
      <c r="A48" s="1"/>
      <c r="B48" s="1"/>
      <c r="C48" s="140">
        <v>30</v>
      </c>
      <c r="D48" s="290"/>
      <c r="E48" s="126" t="str">
        <f>+IFERROR(INDEX(Hoja1!$E$2:$E$45,MATCH('Análisis Resultados'!C48,Hoja1!$H$2:$H$45,0)),"")</f>
        <v>Canales de comunicación con los ciudadanos</v>
      </c>
      <c r="F48" s="127" t="str">
        <f>+IFERROR(VLOOKUP(C48,Hoja1!$H$2:$I$45,2,0),"")</f>
        <v>Si</v>
      </c>
      <c r="G48" s="138" t="str">
        <f t="shared" si="0"/>
        <v>Existe requerimiento pero se requiere actividades  dirigidas a su mantenimiento dentro del marco de las lineas de defensa.</v>
      </c>
      <c r="H48" s="18"/>
      <c r="I48" s="146">
        <f t="shared" si="1"/>
        <v>1</v>
      </c>
      <c r="J48" s="280"/>
    </row>
    <row r="49" spans="1:10" ht="60" customHeight="1" x14ac:dyDescent="0.25">
      <c r="A49" s="1"/>
      <c r="B49" s="1"/>
      <c r="C49" s="140">
        <v>31</v>
      </c>
      <c r="D49" s="290"/>
      <c r="E49" s="126" t="str">
        <f>+IFERROR(INDEX(Hoja1!$E$2:$E$45,MATCH('Análisis Resultados'!C49,Hoja1!$H$2:$H$45,0)),"")</f>
        <v>Canales de comunicación o mecanismos de reporte de información a otros organismos gubernamentales o de control</v>
      </c>
      <c r="F49" s="127" t="str">
        <f>+IFERROR(VLOOKUP(C49,Hoja1!$H$2:$I$45,2,0),"")</f>
        <v>Si</v>
      </c>
      <c r="G49" s="138" t="str">
        <f t="shared" si="0"/>
        <v>Existe requerimiento pero se requiere actividades  dirigidas a su mantenimiento dentro del marco de las lineas de defensa.</v>
      </c>
      <c r="H49" s="18"/>
      <c r="I49" s="146">
        <f t="shared" si="1"/>
        <v>1</v>
      </c>
      <c r="J49" s="280"/>
    </row>
    <row r="50" spans="1:10" ht="57" customHeight="1" x14ac:dyDescent="0.25">
      <c r="A50" s="1"/>
      <c r="B50" s="1"/>
      <c r="C50" s="140">
        <v>32</v>
      </c>
      <c r="D50" s="290"/>
      <c r="E50" s="126" t="str">
        <f>+IFERROR(INDEX(Hoja1!$E$2:$E$45,MATCH('Análisis Resultados'!C50,Hoja1!$H$2:$H$45,0)),"")</f>
        <v xml:space="preserve">Lineamientos para dar tratamiento a la información de carácter reservado </v>
      </c>
      <c r="F50" s="127" t="str">
        <f>+IFERROR(VLOOKUP(C50,Hoja1!$H$2:$I$45,2,0),"")</f>
        <v>Si</v>
      </c>
      <c r="G50" s="138" t="str">
        <f t="shared" si="0"/>
        <v>Existe requerimiento pero se requiere actividades  dirigidas a su mantenimiento dentro del marco de las lineas de defensa.</v>
      </c>
      <c r="H50" s="18"/>
      <c r="I50" s="146">
        <f t="shared" si="1"/>
        <v>1</v>
      </c>
      <c r="J50" s="280"/>
    </row>
    <row r="51" spans="1:10" ht="57" customHeight="1" x14ac:dyDescent="0.25">
      <c r="A51" s="1"/>
      <c r="B51" s="1"/>
      <c r="C51" s="140">
        <v>33</v>
      </c>
      <c r="D51" s="290"/>
      <c r="E51" s="126" t="str">
        <f>+IFERROR(INDEX(Hoja1!$E$2:$E$45,MATCH('Análisis Resultados'!C51,Hoja1!$H$2:$H$45,0)),"")</f>
        <v>Identificación de información que produce en el marco de su gestión (Para los ciudadanos, organismos de control, organismos gubernamentales, entre otros)</v>
      </c>
      <c r="F51" s="127" t="str">
        <f>+IFERROR(VLOOKUP(C51,Hoja1!$H$2:$I$45,2,0),"")</f>
        <v>Si</v>
      </c>
      <c r="G51" s="138" t="str">
        <f t="shared" si="0"/>
        <v>Existe requerimiento pero se requiere actividades  dirigidas a su mantenimiento dentro del marco de las lineas de defensa.</v>
      </c>
      <c r="H51" s="18"/>
      <c r="I51" s="146">
        <f t="shared" si="1"/>
        <v>1</v>
      </c>
      <c r="J51" s="280"/>
    </row>
    <row r="52" spans="1:10" ht="45.75" thickBot="1" x14ac:dyDescent="0.3">
      <c r="A52" s="1"/>
      <c r="B52" s="1"/>
      <c r="C52" s="140">
        <v>34</v>
      </c>
      <c r="D52" s="290"/>
      <c r="E52" s="132" t="str">
        <f>+IFERROR(INDEX(Hoja1!$E$2:$E$45,MATCH('Análisis Resultados'!C52,Hoja1!$H$2:$H$45,0)),"")</f>
        <v>Identificación de información necesaria para la operación de la entidad (normograma, presupuesto, talento humano, infraestructura física y tecnológica)</v>
      </c>
      <c r="F52" s="133" t="str">
        <f>+IFERROR(VLOOKUP(C52,Hoja1!$H$2:$I$45,2,0),"")</f>
        <v>Si</v>
      </c>
      <c r="G52" s="139" t="str">
        <f t="shared" si="0"/>
        <v>Existe requerimiento pero se requiere actividades  dirigidas a su mantenimiento dentro del marco de las lineas de defensa.</v>
      </c>
      <c r="H52" s="18"/>
      <c r="I52" s="147">
        <f t="shared" si="1"/>
        <v>1</v>
      </c>
      <c r="J52" s="280"/>
    </row>
    <row r="53" spans="1:10" ht="41.25" customHeight="1" x14ac:dyDescent="0.25">
      <c r="A53" s="1"/>
      <c r="B53" s="1"/>
      <c r="C53" s="140">
        <v>35</v>
      </c>
      <c r="D53" s="284" t="s">
        <v>96</v>
      </c>
      <c r="E53" s="123" t="str">
        <f>+IFERROR(INDEX(Hoja1!$E$2:$E$45,MATCH('Análisis Resultados'!C53,Hoja1!$H$2:$H$45,0)),"")</f>
        <v>Controlar los puntos críticos en los procesos.</v>
      </c>
      <c r="F53" s="124" t="str">
        <f>+IFERROR(VLOOKUP(C53,Hoja1!$H$2:$I$45,2,0),"")</f>
        <v>En proceso</v>
      </c>
      <c r="G53" s="125" t="str">
        <f t="shared" si="0"/>
        <v>Se encuentra en proceso, pero requiere continuar con acciones dirigidas a contar con dicho aspecto de control.</v>
      </c>
      <c r="H53" s="18"/>
      <c r="I53" s="141">
        <f t="shared" si="1"/>
        <v>0.5</v>
      </c>
      <c r="J53" s="287">
        <f>+AVERAGE(I53:I62)</f>
        <v>0.8</v>
      </c>
    </row>
    <row r="54" spans="1:10" ht="58.5" customHeight="1" x14ac:dyDescent="0.25">
      <c r="A54" s="1"/>
      <c r="B54" s="1"/>
      <c r="C54" s="140">
        <v>36</v>
      </c>
      <c r="D54" s="285"/>
      <c r="E54" s="126" t="str">
        <f>+IFERROR(INDEX(Hoja1!$E$2:$E$45,MATCH('Análisis Resultados'!C54,Hoja1!$H$2:$H$45,0)),"")</f>
        <v>Diseñar acciones adecuadas para controlar los problemas que afectan el cumplimiento de las metas y objetivos institucionales (riesgos).</v>
      </c>
      <c r="F54" s="127" t="str">
        <f>+IFERROR(VLOOKUP(C54,Hoja1!$H$2:$I$45,2,0),"")</f>
        <v>En proceso</v>
      </c>
      <c r="G54" s="128" t="str">
        <f t="shared" si="0"/>
        <v>Se encuentra en proceso, pero requiere continuar con acciones dirigidas a contar con dicho aspecto de control.</v>
      </c>
      <c r="H54" s="18"/>
      <c r="I54" s="142">
        <f t="shared" si="1"/>
        <v>0.5</v>
      </c>
      <c r="J54" s="288"/>
    </row>
    <row r="55" spans="1:10" s="1" customFormat="1" ht="84.75" customHeight="1" x14ac:dyDescent="0.25">
      <c r="C55" s="140">
        <v>37</v>
      </c>
      <c r="D55" s="285"/>
      <c r="E55" s="126" t="str">
        <f>+IFERROR(INDEX(Hoja1!$E$2:$E$45,MATCH('Análisis Resultados'!C55,Hoja1!$H$2:$H$45,0)),"")</f>
        <v>Ejecutar las acciones de acuerdo a como se diseñaron previamente.</v>
      </c>
      <c r="F55" s="127" t="str">
        <f>+IFERROR(VLOOKUP(C55,Hoja1!$H$2:$I$45,2,0),"")</f>
        <v>En proceso</v>
      </c>
      <c r="G55" s="128" t="str">
        <f t="shared" si="0"/>
        <v>Se encuentra en proceso, pero requiere continuar con acciones dirigidas a contar con dicho aspecto de control.</v>
      </c>
      <c r="H55" s="6"/>
      <c r="I55" s="142">
        <f t="shared" si="1"/>
        <v>0.5</v>
      </c>
      <c r="J55" s="288"/>
    </row>
    <row r="56" spans="1:10" s="1" customFormat="1" ht="78.75" customHeight="1" x14ac:dyDescent="0.25">
      <c r="C56" s="140">
        <v>38</v>
      </c>
      <c r="D56" s="285"/>
      <c r="E56" s="126" t="str">
        <f>+IFERROR(INDEX(Hoja1!$E$2:$E$45,MATCH('Análisis Resultados'!C56,Hoja1!$H$2:$H$45,0)),"")</f>
        <v>No se gestionan los problemas que afectan el cumplimiento de las funciones y objetivos institucionales(riesgos).</v>
      </c>
      <c r="F56" s="127" t="str">
        <f>+IFERROR(VLOOKUP(C56,Hoja1!$H$2:$I$45,2,0),"")</f>
        <v>En proceso</v>
      </c>
      <c r="G56" s="128" t="str">
        <f t="shared" si="0"/>
        <v>Se encuentra en proceso, pero requiere continuar con acciones dirigidas a contar con dicho aspecto de control.</v>
      </c>
      <c r="H56" s="6"/>
      <c r="I56" s="142">
        <f t="shared" si="1"/>
        <v>0.5</v>
      </c>
      <c r="J56" s="288"/>
    </row>
    <row r="57" spans="1:10" s="1" customFormat="1" ht="54.75" customHeight="1" x14ac:dyDescent="0.25">
      <c r="C57" s="140">
        <v>39</v>
      </c>
      <c r="D57" s="285"/>
      <c r="E57" s="126" t="str">
        <f>+IFERROR(INDEX(Hoja1!$E$2:$E$45,MATCH('Análisis Resultados'!C57,Hoja1!$H$2:$H$45,0)),"")</f>
        <v>Mecanismos de evaluación de la gestión (cronogramas, indicadores, listas de chequeo u otros)</v>
      </c>
      <c r="F57" s="127" t="str">
        <f>+IFERROR(VLOOKUP(C57,Hoja1!$H$2:$I$45,2,0),"")</f>
        <v>Si</v>
      </c>
      <c r="G57" s="128" t="str">
        <f t="shared" si="0"/>
        <v>Existe requerimiento pero se requiere actividades  dirigidas a su mantenimiento dentro del marco de las lineas de defensa.</v>
      </c>
      <c r="H57" s="6"/>
      <c r="I57" s="142">
        <f t="shared" si="1"/>
        <v>1</v>
      </c>
      <c r="J57" s="288"/>
    </row>
    <row r="58" spans="1:10" s="1" customFormat="1" ht="68.25" customHeight="1" x14ac:dyDescent="0.25">
      <c r="C58" s="140">
        <v>40</v>
      </c>
      <c r="D58" s="285"/>
      <c r="E58" s="126"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27" t="str">
        <f>+IFERROR(VLOOKUP(C58,Hoja1!$H$2:$I$45,2,0),"")</f>
        <v>Si</v>
      </c>
      <c r="G58" s="128" t="str">
        <f t="shared" si="0"/>
        <v>Existe requerimiento pero se requiere actividades  dirigidas a su mantenimiento dentro del marco de las lineas de defensa.</v>
      </c>
      <c r="H58" s="6"/>
      <c r="I58" s="142">
        <f t="shared" si="1"/>
        <v>1</v>
      </c>
      <c r="J58" s="288"/>
    </row>
    <row r="59" spans="1:10" s="1" customFormat="1" ht="45" customHeight="1" x14ac:dyDescent="0.25">
      <c r="C59" s="140">
        <v>41</v>
      </c>
      <c r="D59" s="285"/>
      <c r="E59" s="126" t="str">
        <f>+IFERROR(INDEX(Hoja1!$E$2:$E$45,MATCH('Análisis Resultados'!C59,Hoja1!$H$2:$H$45,0)),"")</f>
        <v>Medidas correctivas en caso de detectarse deficiencias en los ejercicios de evaluación, seguimiento o auditoría</v>
      </c>
      <c r="F59" s="127" t="str">
        <f>+IFERROR(VLOOKUP(C59,Hoja1!$H$2:$I$45,2,0),"")</f>
        <v>Si</v>
      </c>
      <c r="G59" s="128" t="str">
        <f t="shared" si="0"/>
        <v>Existe requerimiento pero se requiere actividades  dirigidas a su mantenimiento dentro del marco de las lineas de defensa.</v>
      </c>
      <c r="H59" s="6"/>
      <c r="I59" s="142">
        <f t="shared" si="1"/>
        <v>1</v>
      </c>
      <c r="J59" s="288"/>
    </row>
    <row r="60" spans="1:10" s="1" customFormat="1" ht="51.75" customHeight="1" x14ac:dyDescent="0.25">
      <c r="C60" s="140">
        <v>42</v>
      </c>
      <c r="D60" s="285"/>
      <c r="E60" s="126" t="str">
        <f>+IFERROR(INDEX(Hoja1!$E$2:$E$45,MATCH('Análisis Resultados'!C60,Hoja1!$H$2:$H$45,0)),"")</f>
        <v>Seguimiento a los planes de mejoramiento suscritos con instancias de control internas o externas</v>
      </c>
      <c r="F60" s="127" t="str">
        <f>+IFERROR(VLOOKUP(C60,Hoja1!$H$2:$I$45,2,0),"")</f>
        <v>Si</v>
      </c>
      <c r="G60" s="128" t="str">
        <f t="shared" si="0"/>
        <v>Existe requerimiento pero se requiere actividades  dirigidas a su mantenimiento dentro del marco de las lineas de defensa.</v>
      </c>
      <c r="H60" s="6"/>
      <c r="I60" s="142">
        <f t="shared" si="1"/>
        <v>1</v>
      </c>
      <c r="J60" s="288"/>
    </row>
    <row r="61" spans="1:10" s="1" customFormat="1" ht="84" customHeight="1" x14ac:dyDescent="0.25">
      <c r="C61" s="140">
        <v>43</v>
      </c>
      <c r="D61" s="285"/>
      <c r="E61" s="126" t="str">
        <f>+IFERROR(INDEX(Hoja1!$E$2:$E$45,MATCH('Análisis Resultados'!C61,Hoja1!$H$2:$H$45,0)),"")</f>
        <v>La entidad participa en el  Comité Municipal de Auditoría?</v>
      </c>
      <c r="F61" s="127" t="str">
        <f>+IFERROR(VLOOKUP(C61,Hoja1!$H$2:$I$45,2,0),"")</f>
        <v>Si</v>
      </c>
      <c r="G61" s="128" t="str">
        <f t="shared" si="0"/>
        <v>Existe requerimiento pero se requiere actividades  dirigidas a su mantenimiento dentro del marco de las lineas de defensa.</v>
      </c>
      <c r="H61" s="6"/>
      <c r="I61" s="142">
        <f t="shared" si="1"/>
        <v>1</v>
      </c>
      <c r="J61" s="288"/>
    </row>
    <row r="62" spans="1:10" s="1" customFormat="1" ht="60" customHeight="1" thickBot="1" x14ac:dyDescent="0.3">
      <c r="C62" s="140">
        <v>44</v>
      </c>
      <c r="D62" s="286"/>
      <c r="E62" s="129" t="str">
        <f>+IFERROR(INDEX(Hoja1!$E$2:$E$45,MATCH('Análisis Resultados'!C62,Hoja1!$H$2:$H$45,0)),"")</f>
        <v>Evitar que los problemas (riesgos) obstaculicen el cumplimiento de los objetivos.</v>
      </c>
      <c r="F62" s="130" t="str">
        <f>+IFERROR(VLOOKUP(C62,Hoja1!$H$2:$I$45,2,0),"")</f>
        <v>Si</v>
      </c>
      <c r="G62" s="131" t="str">
        <f t="shared" si="0"/>
        <v>Existe requerimiento pero se requiere actividades  dirigidas a su mantenimiento dentro del marco de las lineas de defensa.</v>
      </c>
      <c r="H62" s="6"/>
      <c r="I62" s="143">
        <f t="shared" si="1"/>
        <v>1</v>
      </c>
      <c r="J62" s="289"/>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stopIfTrue="1" operator="between">
      <formula>0.75</formula>
      <formula>1</formula>
    </cfRule>
    <cfRule type="cellIs" dxfId="18" priority="5" stopIfTrue="1" operator="between">
      <formula>0.5</formula>
      <formula>0.74</formula>
    </cfRule>
    <cfRule type="cellIs" dxfId="17" priority="6" stopIfTrue="1" operator="between">
      <formula>0</formula>
      <formula>0.49</formula>
    </cfRule>
  </conditionalFormatting>
  <conditionalFormatting sqref="J53 J19:J31 J46 J41">
    <cfRule type="cellIs" priority="1" stopIfTrue="1" operator="between">
      <formula>0.75</formula>
      <formula>1</formula>
    </cfRule>
    <cfRule type="cellIs" dxfId="16" priority="2" stopIfTrue="1" operator="between">
      <formula>0.5</formula>
      <formula>0.75</formula>
    </cfRule>
    <cfRule type="cellIs" dxfId="15" priority="3" stopIfTrue="1"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zoomScale="55" zoomScaleNormal="55" workbookViewId="0">
      <selection activeCell="K12" sqref="K1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6" t="s">
        <v>123</v>
      </c>
      <c r="F4" s="318" t="s">
        <v>216</v>
      </c>
      <c r="G4" s="318"/>
      <c r="H4" s="318"/>
      <c r="I4" s="318"/>
      <c r="J4" s="318"/>
      <c r="K4" s="318"/>
      <c r="L4" s="318"/>
      <c r="M4" s="318"/>
      <c r="N4" s="7"/>
      <c r="O4" s="7"/>
      <c r="P4" s="8"/>
      <c r="Q4" s="1"/>
    </row>
    <row r="5" spans="1:17" ht="45.75" customHeight="1" x14ac:dyDescent="0.3">
      <c r="A5" s="1"/>
      <c r="B5" s="5"/>
      <c r="C5" s="6"/>
      <c r="D5" s="6"/>
      <c r="E5" s="317"/>
      <c r="F5" s="318"/>
      <c r="G5" s="318"/>
      <c r="H5" s="318"/>
      <c r="I5" s="318"/>
      <c r="J5" s="318"/>
      <c r="K5" s="318"/>
      <c r="L5" s="318"/>
      <c r="M5" s="318"/>
      <c r="N5" s="7"/>
      <c r="O5" s="7"/>
      <c r="P5" s="8"/>
      <c r="Q5" s="1"/>
    </row>
    <row r="6" spans="1:17" ht="66.75" customHeight="1" x14ac:dyDescent="0.3">
      <c r="A6" s="1"/>
      <c r="B6" s="5"/>
      <c r="C6" s="6"/>
      <c r="D6" s="6"/>
      <c r="E6" s="96" t="s">
        <v>124</v>
      </c>
      <c r="F6" s="319" t="s">
        <v>217</v>
      </c>
      <c r="G6" s="320"/>
      <c r="H6" s="320"/>
      <c r="I6" s="320"/>
      <c r="J6" s="320"/>
      <c r="K6" s="320"/>
      <c r="L6" s="320"/>
      <c r="M6" s="321"/>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22" t="s">
        <v>125</v>
      </c>
      <c r="J8" s="323"/>
      <c r="K8" s="324"/>
      <c r="L8" s="6"/>
      <c r="M8" s="148">
        <f>+AVERAGE(G26,G28,G30,G32,G34)</f>
        <v>0.7790476190476191</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25" t="s">
        <v>126</v>
      </c>
      <c r="D18" s="326"/>
      <c r="E18" s="326"/>
      <c r="F18" s="326"/>
      <c r="G18" s="326"/>
      <c r="H18" s="326"/>
      <c r="I18" s="326"/>
      <c r="J18" s="326"/>
      <c r="K18" s="326"/>
      <c r="L18" s="326"/>
      <c r="M18" s="327"/>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8" t="s">
        <v>127</v>
      </c>
      <c r="D20" s="329"/>
      <c r="E20" s="151" t="s">
        <v>75</v>
      </c>
      <c r="F20" s="330" t="s">
        <v>221</v>
      </c>
      <c r="G20" s="331"/>
      <c r="H20" s="331"/>
      <c r="I20" s="331"/>
      <c r="J20" s="331"/>
      <c r="K20" s="331"/>
      <c r="L20" s="331"/>
      <c r="M20" s="332"/>
      <c r="N20" s="15"/>
      <c r="O20" s="15"/>
      <c r="P20" s="8"/>
      <c r="Q20" s="1"/>
    </row>
    <row r="21" spans="1:17" ht="126.75" customHeight="1" x14ac:dyDescent="0.25">
      <c r="A21" s="1"/>
      <c r="B21" s="5"/>
      <c r="C21" s="312" t="s">
        <v>128</v>
      </c>
      <c r="D21" s="313"/>
      <c r="E21" s="152" t="s">
        <v>38</v>
      </c>
      <c r="F21" s="333" t="s">
        <v>222</v>
      </c>
      <c r="G21" s="334"/>
      <c r="H21" s="334"/>
      <c r="I21" s="334"/>
      <c r="J21" s="334"/>
      <c r="K21" s="334"/>
      <c r="L21" s="334"/>
      <c r="M21" s="335"/>
      <c r="N21" s="15"/>
      <c r="O21" s="15"/>
      <c r="P21" s="8"/>
      <c r="Q21" s="1"/>
    </row>
    <row r="22" spans="1:17" ht="151.5" customHeight="1" thickBot="1" x14ac:dyDescent="0.3">
      <c r="A22" s="1"/>
      <c r="B22" s="5"/>
      <c r="C22" s="314" t="s">
        <v>129</v>
      </c>
      <c r="D22" s="315"/>
      <c r="E22" s="153" t="s">
        <v>38</v>
      </c>
      <c r="F22" s="336" t="s">
        <v>223</v>
      </c>
      <c r="G22" s="337"/>
      <c r="H22" s="337"/>
      <c r="I22" s="337"/>
      <c r="J22" s="337"/>
      <c r="K22" s="337"/>
      <c r="L22" s="337"/>
      <c r="M22" s="338"/>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130</v>
      </c>
      <c r="D24" s="100"/>
      <c r="E24" s="99" t="s">
        <v>131</v>
      </c>
      <c r="F24" s="100"/>
      <c r="G24" s="99" t="s">
        <v>132</v>
      </c>
      <c r="H24" s="100"/>
      <c r="I24" s="306" t="s">
        <v>133</v>
      </c>
      <c r="J24" s="306"/>
      <c r="K24" s="306"/>
      <c r="L24" s="306"/>
      <c r="M24" s="306"/>
      <c r="N24" s="33"/>
      <c r="O24" s="33"/>
      <c r="P24" s="8"/>
      <c r="Q24" s="17"/>
    </row>
    <row r="25" spans="1:17" ht="13.5" customHeight="1" thickBot="1" x14ac:dyDescent="0.3">
      <c r="A25" s="1"/>
      <c r="B25" s="5"/>
      <c r="C25" s="32"/>
      <c r="D25" s="18"/>
      <c r="E25" s="18"/>
      <c r="F25" s="18"/>
      <c r="G25" s="18"/>
      <c r="H25" s="18"/>
      <c r="I25" s="310"/>
      <c r="J25" s="310"/>
      <c r="K25" s="310"/>
      <c r="L25" s="310"/>
      <c r="M25" s="310"/>
      <c r="N25" s="34"/>
      <c r="O25" s="34"/>
      <c r="P25" s="8"/>
      <c r="Q25" s="1"/>
    </row>
    <row r="26" spans="1:17" ht="213" customHeight="1" thickBot="1" x14ac:dyDescent="0.3">
      <c r="A26" s="1"/>
      <c r="B26" s="5"/>
      <c r="C26" s="90" t="s">
        <v>32</v>
      </c>
      <c r="D26" s="19"/>
      <c r="E26" s="149" t="str">
        <f>+IF(Hoja1!K2&gt;=0.5,"Si","No")</f>
        <v>Si</v>
      </c>
      <c r="F26" s="20"/>
      <c r="G26" s="150">
        <f>+Hoja1!K2</f>
        <v>0.91666666666666663</v>
      </c>
      <c r="H26" s="20"/>
      <c r="I26" s="307" t="s">
        <v>226</v>
      </c>
      <c r="J26" s="308"/>
      <c r="K26" s="308"/>
      <c r="L26" s="308"/>
      <c r="M26" s="309"/>
      <c r="N26" s="35"/>
      <c r="O26" s="36"/>
      <c r="P26" s="21"/>
      <c r="Q26" s="22"/>
    </row>
    <row r="27" spans="1:17" ht="27" thickBot="1" x14ac:dyDescent="0.45">
      <c r="A27" s="1"/>
      <c r="B27" s="5"/>
      <c r="C27" s="91"/>
      <c r="D27" s="23"/>
      <c r="E27" s="98"/>
      <c r="F27" s="18"/>
      <c r="G27" s="24"/>
      <c r="H27" s="18"/>
      <c r="I27" s="311"/>
      <c r="J27" s="311"/>
      <c r="K27" s="311"/>
      <c r="L27" s="311"/>
      <c r="M27" s="311"/>
      <c r="N27" s="37"/>
      <c r="O27" s="37"/>
      <c r="P27" s="8"/>
      <c r="Q27" s="1"/>
    </row>
    <row r="28" spans="1:17" ht="111.75" customHeight="1" thickBot="1" x14ac:dyDescent="0.4">
      <c r="A28" s="1"/>
      <c r="B28" s="5"/>
      <c r="C28" s="92" t="s">
        <v>134</v>
      </c>
      <c r="D28" s="19"/>
      <c r="E28" s="149" t="str">
        <f>+IF(Hoja1!K14&gt;=0.5,"Si","No")</f>
        <v>Si</v>
      </c>
      <c r="F28" s="18"/>
      <c r="G28" s="150">
        <f>+Hoja1!K14</f>
        <v>0.55000000000000004</v>
      </c>
      <c r="H28" s="18"/>
      <c r="I28" s="297" t="s">
        <v>225</v>
      </c>
      <c r="J28" s="298"/>
      <c r="K28" s="298"/>
      <c r="L28" s="298"/>
      <c r="M28" s="299"/>
      <c r="N28" s="35"/>
      <c r="O28" s="35"/>
      <c r="P28" s="8"/>
      <c r="Q28" s="1"/>
    </row>
    <row r="29" spans="1:17" ht="27" thickBot="1" x14ac:dyDescent="0.45">
      <c r="A29" s="1"/>
      <c r="B29" s="5"/>
      <c r="C29" s="91"/>
      <c r="D29" s="23"/>
      <c r="E29" s="98"/>
      <c r="F29" s="18"/>
      <c r="G29" s="24"/>
      <c r="H29" s="18"/>
      <c r="I29" s="311"/>
      <c r="J29" s="311"/>
      <c r="K29" s="311"/>
      <c r="L29" s="311"/>
      <c r="M29" s="311"/>
      <c r="N29" s="37"/>
      <c r="O29" s="37"/>
      <c r="P29" s="8"/>
      <c r="Q29" s="1"/>
    </row>
    <row r="30" spans="1:17" ht="123" customHeight="1" thickBot="1" x14ac:dyDescent="0.3">
      <c r="A30" s="1"/>
      <c r="B30" s="5"/>
      <c r="C30" s="93" t="s">
        <v>135</v>
      </c>
      <c r="D30" s="19"/>
      <c r="E30" s="149" t="str">
        <f>+IF(Hoja1!K24&gt;=0.5,"Si","No")</f>
        <v>Si</v>
      </c>
      <c r="F30" s="18"/>
      <c r="G30" s="150">
        <f>+Hoja1!K24</f>
        <v>0.7</v>
      </c>
      <c r="H30" s="18"/>
      <c r="I30" s="300" t="s">
        <v>224</v>
      </c>
      <c r="J30" s="301"/>
      <c r="K30" s="301"/>
      <c r="L30" s="301"/>
      <c r="M30" s="302"/>
      <c r="N30" s="35"/>
      <c r="O30" s="35"/>
      <c r="P30" s="8"/>
      <c r="Q30" s="1"/>
    </row>
    <row r="31" spans="1:17" ht="27" thickBot="1" x14ac:dyDescent="0.45">
      <c r="A31" s="1"/>
      <c r="B31" s="5"/>
      <c r="C31" s="91"/>
      <c r="D31" s="23"/>
      <c r="E31" s="98"/>
      <c r="F31" s="18"/>
      <c r="G31" s="24"/>
      <c r="H31" s="18"/>
      <c r="I31" s="311"/>
      <c r="J31" s="311"/>
      <c r="K31" s="311"/>
      <c r="L31" s="311"/>
      <c r="M31" s="311"/>
      <c r="N31" s="37"/>
      <c r="O31" s="37"/>
      <c r="P31" s="8"/>
      <c r="Q31" s="1"/>
    </row>
    <row r="32" spans="1:17" ht="171" customHeight="1" thickBot="1" x14ac:dyDescent="0.3">
      <c r="A32" s="1"/>
      <c r="B32" s="5"/>
      <c r="C32" s="94" t="s">
        <v>86</v>
      </c>
      <c r="D32" s="19"/>
      <c r="E32" s="149" t="str">
        <f>+IF(Hoja1!K29&gt;=0.5,"Si","No")</f>
        <v>Si</v>
      </c>
      <c r="F32" s="18"/>
      <c r="G32" s="150">
        <f>+Hoja1!K29</f>
        <v>0.9285714285714286</v>
      </c>
      <c r="H32" s="18"/>
      <c r="I32" s="303" t="s">
        <v>227</v>
      </c>
      <c r="J32" s="304"/>
      <c r="K32" s="304"/>
      <c r="L32" s="304"/>
      <c r="M32" s="305"/>
      <c r="N32" s="35"/>
      <c r="O32" s="35"/>
      <c r="P32" s="8"/>
      <c r="Q32" s="1"/>
    </row>
    <row r="33" spans="1:17" ht="27" thickBot="1" x14ac:dyDescent="0.45">
      <c r="A33" s="1"/>
      <c r="B33" s="5"/>
      <c r="C33" s="91"/>
      <c r="D33" s="23"/>
      <c r="E33" s="98"/>
      <c r="F33" s="18"/>
      <c r="G33" s="24"/>
      <c r="H33" s="18"/>
      <c r="I33" s="311"/>
      <c r="J33" s="311"/>
      <c r="K33" s="311"/>
      <c r="L33" s="311"/>
      <c r="M33" s="311"/>
      <c r="N33" s="37"/>
      <c r="O33" s="37"/>
      <c r="P33" s="8"/>
      <c r="Q33" s="1"/>
    </row>
    <row r="34" spans="1:17" ht="164.25" customHeight="1" thickBot="1" x14ac:dyDescent="0.4">
      <c r="A34" s="1"/>
      <c r="B34" s="5"/>
      <c r="C34" s="95" t="s">
        <v>136</v>
      </c>
      <c r="D34" s="19"/>
      <c r="E34" s="97" t="str">
        <f>+IF(Hoja1!K36&gt;=0.5,"Si","No")</f>
        <v>Si</v>
      </c>
      <c r="F34" s="18"/>
      <c r="G34" s="150">
        <f>+Hoja1!K36</f>
        <v>0.8</v>
      </c>
      <c r="H34" s="18"/>
      <c r="I34" s="297" t="s">
        <v>228</v>
      </c>
      <c r="J34" s="298"/>
      <c r="K34" s="298"/>
      <c r="L34" s="298"/>
      <c r="M34" s="299"/>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stopIfTrue="1" operator="between">
      <formula>0.75</formula>
      <formula>1</formula>
    </cfRule>
    <cfRule type="cellIs" dxfId="11" priority="5" stopIfTrue="1" operator="between">
      <formula>0.5</formula>
      <formula>0.75</formula>
    </cfRule>
    <cfRule type="cellIs" dxfId="10" priority="6" stopIfTrue="1" operator="between">
      <formula>0</formula>
      <formula>0.49</formula>
    </cfRule>
    <cfRule type="cellIs" dxfId="9" priority="31" stopIfTrue="1" operator="between">
      <formula>0.76</formula>
      <formula>1</formula>
    </cfRule>
    <cfRule type="cellIs" dxfId="8" priority="32" stopIfTrue="1" operator="between">
      <formula>0.51</formula>
      <formula>0.75</formula>
    </cfRule>
    <cfRule type="cellIs" dxfId="7" priority="33" stopIfTrue="1" operator="between">
      <formula>0.26</formula>
      <formula>0.5</formula>
    </cfRule>
  </conditionalFormatting>
  <conditionalFormatting sqref="M8">
    <cfRule type="cellIs" dxfId="6" priority="1" stopIfTrue="1" operator="between">
      <formula>0.75</formula>
      <formula>1</formula>
    </cfRule>
    <cfRule type="cellIs" dxfId="5" priority="2" stopIfTrue="1" operator="between">
      <formula>0.5</formula>
      <formula>0.75</formula>
    </cfRule>
    <cfRule type="cellIs" dxfId="4" priority="3" stopIfTrue="1" operator="between">
      <formula>0</formula>
      <formula>0.49</formula>
    </cfRule>
    <cfRule type="cellIs" priority="27" stopIfTrue="1" operator="between">
      <formula>0.76</formula>
      <formula>1</formula>
    </cfRule>
    <cfRule type="cellIs" dxfId="3" priority="28" stopIfTrue="1" operator="between">
      <formula>0.51</formula>
      <formula>0.75</formula>
    </cfRule>
    <cfRule type="cellIs" dxfId="2" priority="29" stopIfTrue="1" operator="between">
      <formula>0.26</formula>
      <formula>0.5</formula>
    </cfRule>
    <cfRule type="cellIs" dxfId="1" priority="30" stopIfTrue="1"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4" t="s">
        <v>25</v>
      </c>
      <c r="B1" s="154" t="s">
        <v>6</v>
      </c>
      <c r="C1" s="155" t="s">
        <v>8</v>
      </c>
      <c r="D1" s="156" t="s">
        <v>26</v>
      </c>
      <c r="E1" s="156" t="s">
        <v>27</v>
      </c>
      <c r="F1" s="156" t="s">
        <v>137</v>
      </c>
      <c r="G1" s="157" t="s">
        <v>138</v>
      </c>
      <c r="H1" s="157" t="s">
        <v>139</v>
      </c>
      <c r="I1" s="157" t="s">
        <v>118</v>
      </c>
      <c r="J1" s="157" t="s">
        <v>140</v>
      </c>
      <c r="K1" s="157" t="s">
        <v>141</v>
      </c>
    </row>
    <row r="2" spans="1:11" x14ac:dyDescent="0.25">
      <c r="A2" s="158" t="s">
        <v>142</v>
      </c>
      <c r="B2" s="158" t="str">
        <f>+VLOOKUP(A2,'Estado SCI'!$A$16:$C$59,3,0)</f>
        <v>AMBIENTE DE CONTROL</v>
      </c>
      <c r="C2" s="158" t="s">
        <v>33</v>
      </c>
      <c r="D2" s="158" t="s">
        <v>34</v>
      </c>
      <c r="E2" s="158" t="s">
        <v>35</v>
      </c>
      <c r="F2" s="158" t="str">
        <f>+VLOOKUP(A2,'Estado SCI'!$A$16:$I$59,9,0)</f>
        <v>Mantenimiento del control</v>
      </c>
      <c r="G2" s="158">
        <f>+VLOOKUP(A2,'Estado SCI'!$A$16:$L$59,12,0)</f>
        <v>20.123000000000001</v>
      </c>
      <c r="H2" s="158">
        <f t="shared" ref="H2:H45" si="0">+_xlfn.RANK.EQ(G2,$G$2:$G$45,1)</f>
        <v>3</v>
      </c>
      <c r="I2" s="158" t="str">
        <f>+IF(VLOOKUP(A2,'Estado SCI'!$A$16:$G$59,7,0)="","",VLOOKUP(A2,'Estado SCI'!$A$16:$G$59,7,0))</f>
        <v>Si</v>
      </c>
      <c r="J2" s="159">
        <f>+IF(I2="Si",1,IF(I2="En proceso",0.5,0))</f>
        <v>1</v>
      </c>
      <c r="K2" s="160">
        <f t="shared" ref="K2:K45" si="1">+AVERAGEIF($B$2:$B$45,B2,$J$2:$J$45)</f>
        <v>0.91666666666666663</v>
      </c>
    </row>
    <row r="3" spans="1:11" x14ac:dyDescent="0.25">
      <c r="A3" s="158" t="s">
        <v>143</v>
      </c>
      <c r="B3" s="158" t="s">
        <v>32</v>
      </c>
      <c r="C3" s="158" t="s">
        <v>33</v>
      </c>
      <c r="D3" s="158" t="s">
        <v>36</v>
      </c>
      <c r="E3" s="158" t="s">
        <v>37</v>
      </c>
      <c r="F3" s="158" t="str">
        <f>+VLOOKUP(A3,'Estado SCI'!$A$16:$I$59,9,0)</f>
        <v>Mantenimiento del control</v>
      </c>
      <c r="G3" s="158">
        <f>+VLOOKUP(A3,'Estado SCI'!$A$16:$L$59,12,0)</f>
        <v>20.1234</v>
      </c>
      <c r="H3" s="158">
        <f t="shared" si="0"/>
        <v>4</v>
      </c>
      <c r="I3" s="158" t="str">
        <f>+IF(VLOOKUP(A3,'Estado SCI'!$A$16:$G$59,7,0)="","",VLOOKUP(A3,'Estado SCI'!$A$16:$G$59,7,0))</f>
        <v>Si</v>
      </c>
      <c r="J3" s="159">
        <f t="shared" ref="J3:J45" si="2">+IF(I3="Si",1,IF(I3="En proceso",0.5,0))</f>
        <v>1</v>
      </c>
      <c r="K3" s="160">
        <f t="shared" si="1"/>
        <v>0.91666666666666663</v>
      </c>
    </row>
    <row r="4" spans="1:11" x14ac:dyDescent="0.25">
      <c r="A4" s="158" t="s">
        <v>144</v>
      </c>
      <c r="B4" s="158" t="s">
        <v>32</v>
      </c>
      <c r="C4" s="158" t="s">
        <v>33</v>
      </c>
      <c r="D4" s="158" t="s">
        <v>39</v>
      </c>
      <c r="E4" s="158" t="s">
        <v>40</v>
      </c>
      <c r="F4" s="158" t="str">
        <f>+VLOOKUP(A4,'Estado SCI'!$A$16:$I$59,9,0)</f>
        <v>Mantenimiento del control</v>
      </c>
      <c r="G4" s="158">
        <f>+VLOOKUP(A4,'Estado SCI'!$A$16:$L$59,12,0)</f>
        <v>20.123449999999998</v>
      </c>
      <c r="H4" s="158">
        <f t="shared" si="0"/>
        <v>5</v>
      </c>
      <c r="I4" s="158" t="str">
        <f>+IF(VLOOKUP(A4,'Estado SCI'!$A$16:$G$59,7,0)="","",VLOOKUP(A4,'Estado SCI'!$A$16:$G$59,7,0))</f>
        <v>Si</v>
      </c>
      <c r="J4" s="159">
        <f t="shared" si="2"/>
        <v>1</v>
      </c>
      <c r="K4" s="160">
        <f t="shared" si="1"/>
        <v>0.91666666666666663</v>
      </c>
    </row>
    <row r="5" spans="1:11" x14ac:dyDescent="0.25">
      <c r="A5" s="158" t="s">
        <v>145</v>
      </c>
      <c r="B5" s="158" t="s">
        <v>32</v>
      </c>
      <c r="C5" s="158" t="s">
        <v>33</v>
      </c>
      <c r="D5" s="158" t="s">
        <v>41</v>
      </c>
      <c r="E5" s="158" t="s">
        <v>42</v>
      </c>
      <c r="F5" s="158" t="str">
        <f>+VLOOKUP(A5,'Estado SCI'!$A$16:$I$59,9,0)</f>
        <v>Mantenimiento del control</v>
      </c>
      <c r="G5" s="158">
        <f>+VLOOKUP(A5,'Estado SCI'!$A$16:$L$59,12,0)</f>
        <v>20.123456000000001</v>
      </c>
      <c r="H5" s="158">
        <f t="shared" si="0"/>
        <v>6</v>
      </c>
      <c r="I5" s="158" t="str">
        <f>+IF(VLOOKUP(A5,'Estado SCI'!$A$16:$G$59,7,0)="","",VLOOKUP(A5,'Estado SCI'!$A$16:$G$59,7,0))</f>
        <v>Si</v>
      </c>
      <c r="J5" s="159">
        <f t="shared" si="2"/>
        <v>1</v>
      </c>
      <c r="K5" s="160">
        <f t="shared" si="1"/>
        <v>0.91666666666666663</v>
      </c>
    </row>
    <row r="6" spans="1:11" x14ac:dyDescent="0.25">
      <c r="A6" s="158" t="s">
        <v>146</v>
      </c>
      <c r="B6" s="158" t="s">
        <v>32</v>
      </c>
      <c r="C6" s="158" t="s">
        <v>33</v>
      </c>
      <c r="D6" s="158" t="s">
        <v>43</v>
      </c>
      <c r="E6" s="158" t="s">
        <v>44</v>
      </c>
      <c r="F6" s="158" t="str">
        <f>+VLOOKUP(A6,'Estado SCI'!$A$16:$I$59,9,0)</f>
        <v>Mantenimiento del control</v>
      </c>
      <c r="G6" s="158">
        <f>+VLOOKUP(A6,'Estado SCI'!$A$16:$L$59,12,0)</f>
        <v>20.123456780000001</v>
      </c>
      <c r="H6" s="158">
        <f t="shared" si="0"/>
        <v>7</v>
      </c>
      <c r="I6" s="158" t="str">
        <f>+IF(VLOOKUP(A6,'Estado SCI'!$A$16:$G$59,7,0)="","",VLOOKUP(A6,'Estado SCI'!$A$16:$G$59,7,0))</f>
        <v>Si</v>
      </c>
      <c r="J6" s="159">
        <f t="shared" si="2"/>
        <v>1</v>
      </c>
      <c r="K6" s="160">
        <f t="shared" si="1"/>
        <v>0.91666666666666663</v>
      </c>
    </row>
    <row r="7" spans="1:11" x14ac:dyDescent="0.25">
      <c r="A7" s="158" t="s">
        <v>147</v>
      </c>
      <c r="B7" s="158" t="s">
        <v>32</v>
      </c>
      <c r="C7" s="158" t="s">
        <v>33</v>
      </c>
      <c r="D7" s="158" t="s">
        <v>45</v>
      </c>
      <c r="E7" s="158" t="s">
        <v>46</v>
      </c>
      <c r="F7" s="158" t="str">
        <f>+VLOOKUP(A7,'Estado SCI'!$A$16:$I$59,9,0)</f>
        <v>Mantenimiento del control</v>
      </c>
      <c r="G7" s="158">
        <f>+VLOOKUP(A7,'Estado SCI'!$A$16:$L$59,12,0)</f>
        <v>20.123456788999999</v>
      </c>
      <c r="H7" s="158">
        <f t="shared" si="0"/>
        <v>8</v>
      </c>
      <c r="I7" s="158" t="str">
        <f>+IF(VLOOKUP(A7,'Estado SCI'!$A$16:$G$59,7,0)="","",VLOOKUP(A7,'Estado SCI'!$A$16:$G$59,7,0))</f>
        <v>Si</v>
      </c>
      <c r="J7" s="159">
        <f t="shared" si="2"/>
        <v>1</v>
      </c>
      <c r="K7" s="160">
        <f t="shared" si="1"/>
        <v>0.91666666666666663</v>
      </c>
    </row>
    <row r="8" spans="1:11" x14ac:dyDescent="0.25">
      <c r="A8" s="158" t="s">
        <v>148</v>
      </c>
      <c r="B8" s="158" t="s">
        <v>32</v>
      </c>
      <c r="C8" s="158" t="s">
        <v>33</v>
      </c>
      <c r="D8" s="158" t="s">
        <v>47</v>
      </c>
      <c r="E8" s="158" t="s">
        <v>48</v>
      </c>
      <c r="F8" s="158" t="str">
        <f>+VLOOKUP(A8,'Estado SCI'!$A$16:$I$59,9,0)</f>
        <v>Mantenimiento del control</v>
      </c>
      <c r="G8" s="158">
        <f>+VLOOKUP(A8,'Estado SCI'!$A$16:$L$59,12,0)</f>
        <v>20.1234567891</v>
      </c>
      <c r="H8" s="158">
        <f t="shared" si="0"/>
        <v>9</v>
      </c>
      <c r="I8" s="158" t="str">
        <f>+IF(VLOOKUP(A8,'Estado SCI'!$A$16:$G$59,7,0)="","",VLOOKUP(A8,'Estado SCI'!$A$16:$G$59,7,0))</f>
        <v>Si</v>
      </c>
      <c r="J8" s="159">
        <f t="shared" si="2"/>
        <v>1</v>
      </c>
      <c r="K8" s="160">
        <f t="shared" si="1"/>
        <v>0.91666666666666663</v>
      </c>
    </row>
    <row r="9" spans="1:11" x14ac:dyDescent="0.25">
      <c r="A9" s="158" t="s">
        <v>149</v>
      </c>
      <c r="B9" s="158" t="s">
        <v>32</v>
      </c>
      <c r="C9" s="158" t="s">
        <v>33</v>
      </c>
      <c r="D9" s="158" t="s">
        <v>49</v>
      </c>
      <c r="E9" s="158" t="s">
        <v>50</v>
      </c>
      <c r="F9" s="158" t="str">
        <f>+VLOOKUP(A9,'Estado SCI'!$A$16:$I$59,9,0)</f>
        <v>Oportunidad de mejora</v>
      </c>
      <c r="G9" s="158">
        <f>+VLOOKUP(A9,'Estado SCI'!$A$16:$L$59,12,0)</f>
        <v>10.12345678912</v>
      </c>
      <c r="H9" s="158">
        <f t="shared" si="0"/>
        <v>1</v>
      </c>
      <c r="I9" s="158" t="str">
        <f>+IF(VLOOKUP(A9,'Estado SCI'!$A$16:$G$59,7,0)="","",VLOOKUP(A9,'Estado SCI'!$A$16:$G$59,7,0))</f>
        <v>En proceso</v>
      </c>
      <c r="J9" s="159">
        <f t="shared" si="2"/>
        <v>0.5</v>
      </c>
      <c r="K9" s="160">
        <f t="shared" si="1"/>
        <v>0.91666666666666663</v>
      </c>
    </row>
    <row r="10" spans="1:11" x14ac:dyDescent="0.25">
      <c r="A10" s="158" t="s">
        <v>150</v>
      </c>
      <c r="B10" s="158" t="s">
        <v>32</v>
      </c>
      <c r="C10" s="158" t="s">
        <v>33</v>
      </c>
      <c r="D10" s="158" t="s">
        <v>51</v>
      </c>
      <c r="E10" s="158" t="s">
        <v>52</v>
      </c>
      <c r="F10" s="158" t="str">
        <f>+VLOOKUP(A10,'Estado SCI'!$A$16:$I$59,9,0)</f>
        <v>Mantenimiento del control</v>
      </c>
      <c r="G10" s="158">
        <f>+VLOOKUP(A10,'Estado SCI'!$A$16:$L$59,12,0)</f>
        <v>20.123456789123001</v>
      </c>
      <c r="H10" s="158">
        <f t="shared" si="0"/>
        <v>10</v>
      </c>
      <c r="I10" s="158" t="str">
        <f>+IF(VLOOKUP(A10,'Estado SCI'!$A$16:$G$59,7,0)="","",VLOOKUP(A10,'Estado SCI'!$A$16:$G$59,7,0))</f>
        <v>Si</v>
      </c>
      <c r="J10" s="159">
        <f t="shared" si="2"/>
        <v>1</v>
      </c>
      <c r="K10" s="160">
        <f t="shared" si="1"/>
        <v>0.91666666666666663</v>
      </c>
    </row>
    <row r="11" spans="1:11" x14ac:dyDescent="0.25">
      <c r="A11" s="158" t="s">
        <v>151</v>
      </c>
      <c r="B11" s="158" t="s">
        <v>32</v>
      </c>
      <c r="C11" s="158" t="s">
        <v>33</v>
      </c>
      <c r="D11" s="158" t="s">
        <v>53</v>
      </c>
      <c r="E11" s="158" t="s">
        <v>54</v>
      </c>
      <c r="F11" s="158" t="str">
        <f>+VLOOKUP(A11,'Estado SCI'!$A$16:$I$59,9,0)</f>
        <v>Oportunidad de mejora</v>
      </c>
      <c r="G11" s="158">
        <f>+VLOOKUP(A11,'Estado SCI'!$A$16:$L$59,12,0)</f>
        <v>10.1234567891234</v>
      </c>
      <c r="H11" s="158">
        <f t="shared" si="0"/>
        <v>2</v>
      </c>
      <c r="I11" s="158" t="str">
        <f>+IF(VLOOKUP(A11,'Estado SCI'!$A$16:$G$59,7,0)="","",VLOOKUP(A11,'Estado SCI'!$A$16:$G$59,7,0))</f>
        <v>En proceso</v>
      </c>
      <c r="J11" s="159">
        <f t="shared" si="2"/>
        <v>0.5</v>
      </c>
      <c r="K11" s="160">
        <f t="shared" si="1"/>
        <v>0.91666666666666663</v>
      </c>
    </row>
    <row r="12" spans="1:11" x14ac:dyDescent="0.25">
      <c r="A12" s="158" t="s">
        <v>152</v>
      </c>
      <c r="B12" s="158" t="s">
        <v>32</v>
      </c>
      <c r="C12" s="158" t="s">
        <v>33</v>
      </c>
      <c r="D12" s="158" t="s">
        <v>55</v>
      </c>
      <c r="E12" s="158" t="s">
        <v>56</v>
      </c>
      <c r="F12" s="158" t="str">
        <f>+VLOOKUP(A12,'Estado SCI'!$A$16:$I$59,9,0)</f>
        <v>Mantenimiento del control</v>
      </c>
      <c r="G12" s="158">
        <f>+VLOOKUP(A12,'Estado SCI'!$A$16:$L$59,12,0)</f>
        <v>20.123456789123448</v>
      </c>
      <c r="H12" s="158">
        <f t="shared" si="0"/>
        <v>11</v>
      </c>
      <c r="I12" s="158" t="str">
        <f>+IF(VLOOKUP(A12,'Estado SCI'!$A$16:$G$59,7,0)="","",VLOOKUP(A12,'Estado SCI'!$A$16:$G$59,7,0))</f>
        <v>Si</v>
      </c>
      <c r="J12" s="159">
        <f t="shared" si="2"/>
        <v>1</v>
      </c>
      <c r="K12" s="160">
        <f t="shared" si="1"/>
        <v>0.91666666666666663</v>
      </c>
    </row>
    <row r="13" spans="1:11" x14ac:dyDescent="0.25">
      <c r="A13" s="158" t="s">
        <v>153</v>
      </c>
      <c r="B13" s="158" t="s">
        <v>32</v>
      </c>
      <c r="C13" s="158" t="s">
        <v>33</v>
      </c>
      <c r="D13" s="158" t="s">
        <v>57</v>
      </c>
      <c r="E13" s="158" t="s">
        <v>58</v>
      </c>
      <c r="F13" s="158" t="str">
        <f>+VLOOKUP(A13,'Estado SCI'!$A$16:$I$59,9,0)</f>
        <v>Mantenimiento del control</v>
      </c>
      <c r="G13" s="158">
        <f>+VLOOKUP(A13,'Estado SCI'!$A$16:$L$59,12,0)</f>
        <v>20.123456789123455</v>
      </c>
      <c r="H13" s="158">
        <f t="shared" si="0"/>
        <v>12</v>
      </c>
      <c r="I13" s="158" t="str">
        <f>+IF(VLOOKUP(A13,'Estado SCI'!$A$16:$G$59,7,0)="","",VLOOKUP(A13,'Estado SCI'!$A$16:$G$59,7,0))</f>
        <v>Si</v>
      </c>
      <c r="J13" s="159">
        <f t="shared" si="2"/>
        <v>1</v>
      </c>
      <c r="K13" s="160">
        <f t="shared" si="1"/>
        <v>0.91666666666666663</v>
      </c>
    </row>
    <row r="14" spans="1:11" ht="15" customHeight="1" x14ac:dyDescent="0.25">
      <c r="A14" s="158" t="s">
        <v>154</v>
      </c>
      <c r="B14" s="158" t="str">
        <f>+VLOOKUP(A14,'Estado SCI'!$A$16:$C$59,3,0)</f>
        <v>EVALUACION DEL RIESGO</v>
      </c>
      <c r="C14" s="158" t="s">
        <v>61</v>
      </c>
      <c r="D14" s="158" t="s">
        <v>34</v>
      </c>
      <c r="E14" s="158" t="s">
        <v>155</v>
      </c>
      <c r="F14" s="158" t="str">
        <f>+VLOOKUP(A14,'Estado SCI'!$A$16:$I$59,9,0)</f>
        <v>Oportunidad de mejora</v>
      </c>
      <c r="G14" s="158">
        <f>+VLOOKUP(A14,'Estado SCI'!$A$16:$L$59,12,0)</f>
        <v>30.23</v>
      </c>
      <c r="H14" s="158">
        <f t="shared" si="0"/>
        <v>13</v>
      </c>
      <c r="I14" s="158" t="str">
        <f>+IF(VLOOKUP(A14,'Estado SCI'!$A$16:$G$59,7,0)="","",VLOOKUP(A14,'Estado SCI'!$A$16:$G$59,7,0))</f>
        <v>En proceso</v>
      </c>
      <c r="J14" s="159">
        <f t="shared" si="2"/>
        <v>0.5</v>
      </c>
      <c r="K14" s="160">
        <f t="shared" si="1"/>
        <v>0.55000000000000004</v>
      </c>
    </row>
    <row r="15" spans="1:11" ht="15" customHeight="1" x14ac:dyDescent="0.25">
      <c r="A15" s="158" t="s">
        <v>156</v>
      </c>
      <c r="B15" s="158" t="s">
        <v>60</v>
      </c>
      <c r="C15" s="158" t="s">
        <v>61</v>
      </c>
      <c r="D15" s="158" t="s">
        <v>36</v>
      </c>
      <c r="E15" s="158" t="s">
        <v>157</v>
      </c>
      <c r="F15" s="158" t="str">
        <f>+VLOOKUP(A15,'Estado SCI'!$A$16:$I$59,9,0)</f>
        <v>Oportunidad de mejora</v>
      </c>
      <c r="G15" s="158">
        <f>+VLOOKUP(A15,'Estado SCI'!$A$16:$L$59,12,0)</f>
        <v>30.234000000000002</v>
      </c>
      <c r="H15" s="158">
        <f t="shared" si="0"/>
        <v>14</v>
      </c>
      <c r="I15" s="158" t="str">
        <f>+IF(VLOOKUP(A15,'Estado SCI'!$A$16:$G$59,7,0)="","",VLOOKUP(A15,'Estado SCI'!$A$16:$G$59,7,0))</f>
        <v>En proceso</v>
      </c>
      <c r="J15" s="159">
        <f t="shared" si="2"/>
        <v>0.5</v>
      </c>
      <c r="K15" s="160">
        <f t="shared" si="1"/>
        <v>0.55000000000000004</v>
      </c>
    </row>
    <row r="16" spans="1:11" ht="15" customHeight="1" x14ac:dyDescent="0.25">
      <c r="A16" s="158" t="s">
        <v>158</v>
      </c>
      <c r="B16" s="158" t="s">
        <v>60</v>
      </c>
      <c r="C16" s="158" t="s">
        <v>61</v>
      </c>
      <c r="D16" s="158" t="s">
        <v>39</v>
      </c>
      <c r="E16" s="158" t="s">
        <v>159</v>
      </c>
      <c r="F16" s="158" t="str">
        <f>+VLOOKUP(A16,'Estado SCI'!$A$16:$I$59,9,0)</f>
        <v>Mantenimiento del control</v>
      </c>
      <c r="G16" s="158">
        <f>+VLOOKUP(A16,'Estado SCI'!$A$16:$L$59,12,0)</f>
        <v>40.234499999999997</v>
      </c>
      <c r="H16" s="158">
        <f t="shared" si="0"/>
        <v>22</v>
      </c>
      <c r="I16" s="158" t="str">
        <f>+IF(VLOOKUP(A16,'Estado SCI'!$A$16:$G$59,7,0)="","",VLOOKUP(A16,'Estado SCI'!$A$16:$G$59,7,0))</f>
        <v>Si</v>
      </c>
      <c r="J16" s="159">
        <f t="shared" si="2"/>
        <v>1</v>
      </c>
      <c r="K16" s="160">
        <f t="shared" si="1"/>
        <v>0.55000000000000004</v>
      </c>
    </row>
    <row r="17" spans="1:11" ht="15.75" customHeight="1" x14ac:dyDescent="0.25">
      <c r="A17" s="158" t="s">
        <v>160</v>
      </c>
      <c r="B17" s="158" t="s">
        <v>60</v>
      </c>
      <c r="C17" s="158" t="s">
        <v>61</v>
      </c>
      <c r="D17" s="158" t="s">
        <v>41</v>
      </c>
      <c r="E17" s="158" t="s">
        <v>65</v>
      </c>
      <c r="F17" s="158" t="str">
        <f>+VLOOKUP(A17,'Estado SCI'!$A$16:$I$59,9,0)</f>
        <v>Oportunidad de mejora</v>
      </c>
      <c r="G17" s="158">
        <f>+VLOOKUP(A17,'Estado SCI'!$A$16:$L$59,12,0)</f>
        <v>30.234559999999998</v>
      </c>
      <c r="H17" s="158">
        <f t="shared" si="0"/>
        <v>15</v>
      </c>
      <c r="I17" s="158" t="str">
        <f>+IF(VLOOKUP(A17,'Estado SCI'!$A$16:$G$59,7,0)="","",VLOOKUP(A17,'Estado SCI'!$A$16:$G$59,7,0))</f>
        <v>En proceso</v>
      </c>
      <c r="J17" s="159">
        <f t="shared" si="2"/>
        <v>0.5</v>
      </c>
      <c r="K17" s="160">
        <f t="shared" si="1"/>
        <v>0.55000000000000004</v>
      </c>
    </row>
    <row r="18" spans="1:11" ht="15" customHeight="1" x14ac:dyDescent="0.25">
      <c r="A18" s="158" t="s">
        <v>161</v>
      </c>
      <c r="B18" s="158" t="s">
        <v>60</v>
      </c>
      <c r="C18" s="158" t="s">
        <v>79</v>
      </c>
      <c r="D18" s="158" t="s">
        <v>34</v>
      </c>
      <c r="E18" s="158" t="s">
        <v>68</v>
      </c>
      <c r="F18" s="158" t="str">
        <f>+VLOOKUP(A18,'Estado SCI'!$A$16:$I$59,9,0)</f>
        <v>Oportunidad de mejora</v>
      </c>
      <c r="G18" s="158">
        <f>+VLOOKUP(A18,'Estado SCI'!$A$16:$L$59,12,0)</f>
        <v>30.234566999999998</v>
      </c>
      <c r="H18" s="158">
        <f t="shared" si="0"/>
        <v>16</v>
      </c>
      <c r="I18" s="158" t="str">
        <f>+IF(VLOOKUP(A18,'Estado SCI'!$A$16:$G$59,7,0)="","",VLOOKUP(A18,'Estado SCI'!$A$16:$G$59,7,0))</f>
        <v>En proceso</v>
      </c>
      <c r="J18" s="159">
        <f t="shared" si="2"/>
        <v>0.5</v>
      </c>
      <c r="K18" s="160">
        <f t="shared" si="1"/>
        <v>0.55000000000000004</v>
      </c>
    </row>
    <row r="19" spans="1:11" ht="15" customHeight="1" x14ac:dyDescent="0.25">
      <c r="A19" s="158" t="s">
        <v>162</v>
      </c>
      <c r="B19" s="158" t="s">
        <v>60</v>
      </c>
      <c r="C19" s="158" t="s">
        <v>79</v>
      </c>
      <c r="D19" s="158" t="s">
        <v>36</v>
      </c>
      <c r="E19" s="158" t="s">
        <v>69</v>
      </c>
      <c r="F19" s="158" t="str">
        <f>+VLOOKUP(A19,'Estado SCI'!$A$16:$I$59,9,0)</f>
        <v>Oportunidad de mejora</v>
      </c>
      <c r="G19" s="158">
        <f>+VLOOKUP(A19,'Estado SCI'!$A$16:$L$59,12,0)</f>
        <v>30.234567800000001</v>
      </c>
      <c r="H19" s="158">
        <f t="shared" si="0"/>
        <v>17</v>
      </c>
      <c r="I19" s="158" t="str">
        <f>+IF(VLOOKUP(A19,'Estado SCI'!$A$16:$G$59,7,0)="","",VLOOKUP(A19,'Estado SCI'!$A$16:$G$59,7,0))</f>
        <v>En proceso</v>
      </c>
      <c r="J19" s="159">
        <f t="shared" si="2"/>
        <v>0.5</v>
      </c>
      <c r="K19" s="160">
        <f t="shared" si="1"/>
        <v>0.55000000000000004</v>
      </c>
    </row>
    <row r="20" spans="1:11" ht="15" customHeight="1" x14ac:dyDescent="0.25">
      <c r="A20" s="158" t="s">
        <v>163</v>
      </c>
      <c r="B20" s="158" t="s">
        <v>60</v>
      </c>
      <c r="C20" s="158" t="s">
        <v>79</v>
      </c>
      <c r="D20" s="158" t="s">
        <v>39</v>
      </c>
      <c r="E20" s="158" t="s">
        <v>70</v>
      </c>
      <c r="F20" s="158" t="str">
        <f>+VLOOKUP(A20,'Estado SCI'!$A$16:$I$59,9,0)</f>
        <v>Oportunidad de mejora</v>
      </c>
      <c r="G20" s="158">
        <f>+VLOOKUP(A20,'Estado SCI'!$A$16:$L$59,12,0)</f>
        <v>30.234567890000001</v>
      </c>
      <c r="H20" s="158">
        <f t="shared" si="0"/>
        <v>18</v>
      </c>
      <c r="I20" s="158" t="str">
        <f>+IF(VLOOKUP(A20,'Estado SCI'!$A$16:$G$59,7,0)="","",VLOOKUP(A20,'Estado SCI'!$A$16:$G$59,7,0))</f>
        <v>En proceso</v>
      </c>
      <c r="J20" s="159">
        <f t="shared" si="2"/>
        <v>0.5</v>
      </c>
      <c r="K20" s="160">
        <f t="shared" si="1"/>
        <v>0.55000000000000004</v>
      </c>
    </row>
    <row r="21" spans="1:11" ht="15.75" customHeight="1" x14ac:dyDescent="0.25">
      <c r="A21" s="158" t="s">
        <v>164</v>
      </c>
      <c r="B21" s="158" t="s">
        <v>60</v>
      </c>
      <c r="C21" s="158" t="s">
        <v>79</v>
      </c>
      <c r="D21" s="158" t="s">
        <v>34</v>
      </c>
      <c r="E21" s="158" t="s">
        <v>73</v>
      </c>
      <c r="F21" s="158" t="str">
        <f>+VLOOKUP(A21,'Estado SCI'!$A$16:$I$59,9,0)</f>
        <v>Oportunidad de mejora</v>
      </c>
      <c r="G21" s="158">
        <f>+VLOOKUP(A21,'Estado SCI'!$A$16:$L$59,12,0)</f>
        <v>30.234567891200001</v>
      </c>
      <c r="H21" s="158">
        <f t="shared" si="0"/>
        <v>19</v>
      </c>
      <c r="I21" s="158" t="str">
        <f>+IF(VLOOKUP(A21,'Estado SCI'!$A$16:$G$59,7,0)="","",VLOOKUP(A21,'Estado SCI'!$A$16:$G$59,7,0))</f>
        <v>En proceso</v>
      </c>
      <c r="J21" s="159">
        <f t="shared" si="2"/>
        <v>0.5</v>
      </c>
      <c r="K21" s="160">
        <f t="shared" si="1"/>
        <v>0.55000000000000004</v>
      </c>
    </row>
    <row r="22" spans="1:11" ht="15" customHeight="1" x14ac:dyDescent="0.25">
      <c r="A22" s="158" t="s">
        <v>165</v>
      </c>
      <c r="B22" s="158" t="s">
        <v>60</v>
      </c>
      <c r="C22" s="158" t="s">
        <v>87</v>
      </c>
      <c r="D22" s="158" t="s">
        <v>36</v>
      </c>
      <c r="E22" s="158" t="s">
        <v>74</v>
      </c>
      <c r="F22" s="158" t="str">
        <f>+VLOOKUP(A22,'Estado SCI'!$A$16:$I$59,9,0)</f>
        <v>Oportunidad de mejora</v>
      </c>
      <c r="G22" s="158">
        <f>+VLOOKUP(A22,'Estado SCI'!$A$16:$L$59,12,0)</f>
        <v>30.23456789123</v>
      </c>
      <c r="H22" s="158">
        <f t="shared" si="0"/>
        <v>20</v>
      </c>
      <c r="I22" s="158" t="str">
        <f>+IF(VLOOKUP(A22,'Estado SCI'!$A$16:$G$59,7,0)="","",VLOOKUP(A22,'Estado SCI'!$A$16:$G$59,7,0))</f>
        <v>En proceso</v>
      </c>
      <c r="J22" s="159">
        <f t="shared" si="2"/>
        <v>0.5</v>
      </c>
      <c r="K22" s="160">
        <f t="shared" si="1"/>
        <v>0.55000000000000004</v>
      </c>
    </row>
    <row r="23" spans="1:11" ht="15" customHeight="1" x14ac:dyDescent="0.25">
      <c r="A23" s="158" t="s">
        <v>166</v>
      </c>
      <c r="B23" s="158" t="s">
        <v>60</v>
      </c>
      <c r="C23" s="158" t="s">
        <v>87</v>
      </c>
      <c r="D23" s="158" t="s">
        <v>39</v>
      </c>
      <c r="E23" s="158" t="s">
        <v>76</v>
      </c>
      <c r="F23" s="158" t="str">
        <f>+VLOOKUP(A23,'Estado SCI'!$A$16:$I$59,9,0)</f>
        <v>Oportunidad de mejora</v>
      </c>
      <c r="G23" s="158">
        <f>+VLOOKUP(A23,'Estado SCI'!$A$16:$L$59,12,0)</f>
        <v>30.234567891234001</v>
      </c>
      <c r="H23" s="158">
        <f t="shared" si="0"/>
        <v>21</v>
      </c>
      <c r="I23" s="158" t="str">
        <f>+IF(VLOOKUP(A23,'Estado SCI'!$A$16:$G$59,7,0)="","",VLOOKUP(A23,'Estado SCI'!$A$16:$G$59,7,0))</f>
        <v>En proceso</v>
      </c>
      <c r="J23" s="159">
        <f t="shared" si="2"/>
        <v>0.5</v>
      </c>
      <c r="K23" s="160">
        <f t="shared" si="1"/>
        <v>0.55000000000000004</v>
      </c>
    </row>
    <row r="24" spans="1:11" ht="15" customHeight="1" x14ac:dyDescent="0.25">
      <c r="A24" s="158" t="s">
        <v>167</v>
      </c>
      <c r="B24" s="158" t="str">
        <f>+VLOOKUP(A24,'Estado SCI'!$A$16:$C$59,3,0)</f>
        <v>ACTIVIDADES DE CONTROL</v>
      </c>
      <c r="C24" s="158" t="s">
        <v>87</v>
      </c>
      <c r="D24" s="158" t="s">
        <v>34</v>
      </c>
      <c r="E24" s="158" t="s">
        <v>80</v>
      </c>
      <c r="F24" s="158" t="str">
        <f>+VLOOKUP(A24,'Estado SCI'!$A$16:$I$59,9,0)</f>
        <v>Oportunidad de mejora</v>
      </c>
      <c r="G24" s="158">
        <f>+VLOOKUP(A24,'Estado SCI'!$A$16:$L$59,12,0)</f>
        <v>50.31</v>
      </c>
      <c r="H24" s="158">
        <f t="shared" si="0"/>
        <v>23</v>
      </c>
      <c r="I24" s="158" t="str">
        <f>+IF(VLOOKUP(A24,'Estado SCI'!$A$16:$G$59,7,0)="","",VLOOKUP(A24,'Estado SCI'!$A$16:$G$59,7,0))</f>
        <v>En proceso</v>
      </c>
      <c r="J24" s="159">
        <f t="shared" si="2"/>
        <v>0.5</v>
      </c>
      <c r="K24" s="160">
        <f t="shared" si="1"/>
        <v>0.7</v>
      </c>
    </row>
    <row r="25" spans="1:11" ht="15" customHeight="1" x14ac:dyDescent="0.25">
      <c r="A25" s="158" t="s">
        <v>168</v>
      </c>
      <c r="B25" s="158" t="s">
        <v>78</v>
      </c>
      <c r="C25" s="158" t="s">
        <v>87</v>
      </c>
      <c r="D25" s="158" t="s">
        <v>36</v>
      </c>
      <c r="E25" s="158" t="s">
        <v>81</v>
      </c>
      <c r="F25" s="158" t="str">
        <f>+VLOOKUP(A25,'Estado SCI'!$A$16:$I$59,9,0)</f>
        <v>Oportunidad de mejora</v>
      </c>
      <c r="G25" s="158">
        <f>+VLOOKUP(A25,'Estado SCI'!$A$16:$L$59,12,0)</f>
        <v>50.323</v>
      </c>
      <c r="H25" s="158">
        <f t="shared" si="0"/>
        <v>24</v>
      </c>
      <c r="I25" s="158" t="str">
        <f>+IF(VLOOKUP(A25,'Estado SCI'!$A$16:$G$59,7,0)="","",VLOOKUP(A25,'Estado SCI'!$A$16:$G$59,7,0))</f>
        <v>En proceso</v>
      </c>
      <c r="J25" s="159">
        <f t="shared" si="2"/>
        <v>0.5</v>
      </c>
      <c r="K25" s="160">
        <f t="shared" si="1"/>
        <v>0.7</v>
      </c>
    </row>
    <row r="26" spans="1:11" ht="15" customHeight="1" x14ac:dyDescent="0.25">
      <c r="A26" s="158" t="s">
        <v>169</v>
      </c>
      <c r="B26" s="158" t="s">
        <v>78</v>
      </c>
      <c r="C26" s="158" t="s">
        <v>87</v>
      </c>
      <c r="D26" s="158" t="s">
        <v>39</v>
      </c>
      <c r="E26" s="158" t="s">
        <v>82</v>
      </c>
      <c r="F26" s="158" t="str">
        <f>+VLOOKUP(A26,'Estado SCI'!$A$16:$I$59,9,0)</f>
        <v>Oportunidad de mejora</v>
      </c>
      <c r="G26" s="158">
        <f>+VLOOKUP(A26,'Estado SCI'!$A$16:$L$59,12,0)</f>
        <v>50.323999999999998</v>
      </c>
      <c r="H26" s="158">
        <f t="shared" si="0"/>
        <v>25</v>
      </c>
      <c r="I26" s="158" t="str">
        <f>+IF(VLOOKUP(A26,'Estado SCI'!$A$16:$G$59,7,0)="","",VLOOKUP(A26,'Estado SCI'!$A$16:$G$59,7,0))</f>
        <v>En proceso</v>
      </c>
      <c r="J26" s="159">
        <f t="shared" si="2"/>
        <v>0.5</v>
      </c>
      <c r="K26" s="160">
        <f t="shared" si="1"/>
        <v>0.7</v>
      </c>
    </row>
    <row r="27" spans="1:11" ht="15.75" customHeight="1" x14ac:dyDescent="0.25">
      <c r="A27" s="158" t="s">
        <v>170</v>
      </c>
      <c r="B27" s="158" t="s">
        <v>78</v>
      </c>
      <c r="C27" s="158" t="s">
        <v>87</v>
      </c>
      <c r="D27" s="158" t="s">
        <v>41</v>
      </c>
      <c r="E27" s="158" t="s">
        <v>83</v>
      </c>
      <c r="F27" s="158" t="str">
        <f>+VLOOKUP(A27,'Estado SCI'!$A$16:$I$59,9,0)</f>
        <v>Mantenimiento del control</v>
      </c>
      <c r="G27" s="158">
        <f>+VLOOKUP(A27,'Estado SCI'!$A$16:$L$59,12,0)</f>
        <v>60.325000000000003</v>
      </c>
      <c r="H27" s="158">
        <f t="shared" si="0"/>
        <v>26</v>
      </c>
      <c r="I27" s="158" t="str">
        <f>+IF(VLOOKUP(A27,'Estado SCI'!$A$16:$G$59,7,0)="","",VLOOKUP(A27,'Estado SCI'!$A$16:$G$59,7,0))</f>
        <v>Si</v>
      </c>
      <c r="J27" s="159">
        <f t="shared" si="2"/>
        <v>1</v>
      </c>
      <c r="K27" s="160">
        <f t="shared" si="1"/>
        <v>0.7</v>
      </c>
    </row>
    <row r="28" spans="1:11" ht="15" customHeight="1" x14ac:dyDescent="0.25">
      <c r="A28" s="158" t="s">
        <v>171</v>
      </c>
      <c r="B28" s="158" t="s">
        <v>78</v>
      </c>
      <c r="C28" s="158" t="s">
        <v>97</v>
      </c>
      <c r="D28" s="158" t="s">
        <v>43</v>
      </c>
      <c r="E28" s="158" t="s">
        <v>84</v>
      </c>
      <c r="F28" s="158" t="str">
        <f>+VLOOKUP(A28,'Estado SCI'!$A$16:$I$59,9,0)</f>
        <v>Mantenimiento del control</v>
      </c>
      <c r="G28" s="158">
        <f>+VLOOKUP(A28,'Estado SCI'!$A$16:$L$59,12,0)</f>
        <v>60.326000000000001</v>
      </c>
      <c r="H28" s="158">
        <f t="shared" si="0"/>
        <v>27</v>
      </c>
      <c r="I28" s="158" t="str">
        <f>+IF(VLOOKUP(A28,'Estado SCI'!$A$16:$G$59,7,0)="","",VLOOKUP(A28,'Estado SCI'!$A$16:$G$59,7,0))</f>
        <v>Si</v>
      </c>
      <c r="J28" s="159">
        <f t="shared" si="2"/>
        <v>1</v>
      </c>
      <c r="K28" s="160">
        <f t="shared" si="1"/>
        <v>0.7</v>
      </c>
    </row>
    <row r="29" spans="1:11" ht="15" customHeight="1" x14ac:dyDescent="0.25">
      <c r="A29" s="158" t="s">
        <v>172</v>
      </c>
      <c r="B29" s="158" t="str">
        <f>+VLOOKUP(A29,'Estado SCI'!$A$16:$C$59,3,0)</f>
        <v>INFORMACION Y COMUNICACIÓN</v>
      </c>
      <c r="C29" s="158" t="s">
        <v>97</v>
      </c>
      <c r="D29" s="158" t="s">
        <v>34</v>
      </c>
      <c r="E29" s="158" t="s">
        <v>88</v>
      </c>
      <c r="F29" s="158" t="str">
        <f>+VLOOKUP(A29,'Estado SCI'!$A$16:$I$59,9,0)</f>
        <v>Mantenimiento del control</v>
      </c>
      <c r="G29" s="158">
        <f>+VLOOKUP(A29,'Estado SCI'!$A$16:$L$59,12,0)</f>
        <v>80.412000000000006</v>
      </c>
      <c r="H29" s="158">
        <f t="shared" si="0"/>
        <v>29</v>
      </c>
      <c r="I29" s="158" t="str">
        <f>+IF(VLOOKUP(A29,'Estado SCI'!$A$16:$G$59,7,0)="","",VLOOKUP(A29,'Estado SCI'!$A$16:$G$59,7,0))</f>
        <v>Si</v>
      </c>
      <c r="J29" s="159">
        <f t="shared" si="2"/>
        <v>1</v>
      </c>
      <c r="K29" s="160">
        <f t="shared" si="1"/>
        <v>0.9285714285714286</v>
      </c>
    </row>
    <row r="30" spans="1:11" ht="15" customHeight="1" x14ac:dyDescent="0.25">
      <c r="A30" s="158" t="s">
        <v>173</v>
      </c>
      <c r="B30" s="158" t="s">
        <v>86</v>
      </c>
      <c r="C30" s="158" t="s">
        <v>97</v>
      </c>
      <c r="D30" s="158" t="s">
        <v>36</v>
      </c>
      <c r="E30" s="158" t="s">
        <v>89</v>
      </c>
      <c r="F30" s="158" t="str">
        <f>+VLOOKUP(A30,'Estado SCI'!$A$16:$I$59,9,0)</f>
        <v>Mantenimiento del control</v>
      </c>
      <c r="G30" s="158">
        <f>+VLOOKUP(A30,'Estado SCI'!$A$16:$L$59,12,0)</f>
        <v>80.412300000000002</v>
      </c>
      <c r="H30" s="158">
        <f t="shared" si="0"/>
        <v>30</v>
      </c>
      <c r="I30" s="158" t="str">
        <f>+IF(VLOOKUP(A30,'Estado SCI'!$A$16:$G$59,7,0)="","",VLOOKUP(A30,'Estado SCI'!$A$16:$G$59,7,0))</f>
        <v>Si</v>
      </c>
      <c r="J30" s="159">
        <f t="shared" si="2"/>
        <v>1</v>
      </c>
      <c r="K30" s="160">
        <f t="shared" si="1"/>
        <v>0.9285714285714286</v>
      </c>
    </row>
    <row r="31" spans="1:11" ht="15.75" customHeight="1" x14ac:dyDescent="0.25">
      <c r="A31" s="158" t="s">
        <v>174</v>
      </c>
      <c r="B31" s="158" t="s">
        <v>86</v>
      </c>
      <c r="C31" s="158" t="s">
        <v>97</v>
      </c>
      <c r="D31" s="158" t="s">
        <v>39</v>
      </c>
      <c r="E31" s="158" t="s">
        <v>90</v>
      </c>
      <c r="F31" s="158" t="str">
        <f>+VLOOKUP(A31,'Estado SCI'!$A$16:$I$59,9,0)</f>
        <v>Mantenimiento del control</v>
      </c>
      <c r="G31" s="158">
        <f>+VLOOKUP(A31,'Estado SCI'!$A$16:$L$59,12,0)</f>
        <v>80.41234</v>
      </c>
      <c r="H31" s="158">
        <f t="shared" si="0"/>
        <v>31</v>
      </c>
      <c r="I31" s="158" t="str">
        <f>+IF(VLOOKUP(A31,'Estado SCI'!$A$16:$G$59,7,0)="","",VLOOKUP(A31,'Estado SCI'!$A$16:$G$59,7,0))</f>
        <v>Si</v>
      </c>
      <c r="J31" s="159">
        <f t="shared" si="2"/>
        <v>1</v>
      </c>
      <c r="K31" s="160">
        <f t="shared" si="1"/>
        <v>0.9285714285714286</v>
      </c>
    </row>
    <row r="32" spans="1:11" x14ac:dyDescent="0.25">
      <c r="A32" s="158" t="s">
        <v>175</v>
      </c>
      <c r="B32" s="158" t="s">
        <v>86</v>
      </c>
      <c r="C32" s="158" t="s">
        <v>103</v>
      </c>
      <c r="D32" s="158" t="s">
        <v>41</v>
      </c>
      <c r="E32" s="158" t="s">
        <v>91</v>
      </c>
      <c r="F32" s="158" t="str">
        <f>+VLOOKUP(A32,'Estado SCI'!$A$16:$I$59,9,0)</f>
        <v>Mantenimiento del control</v>
      </c>
      <c r="G32" s="158">
        <f>+VLOOKUP(A32,'Estado SCI'!$A$16:$L$59,12,0)</f>
        <v>80.412345000000002</v>
      </c>
      <c r="H32" s="158">
        <f t="shared" si="0"/>
        <v>32</v>
      </c>
      <c r="I32" s="158" t="str">
        <f>+IF(VLOOKUP(A32,'Estado SCI'!$A$16:$G$59,7,0)="","",VLOOKUP(A32,'Estado SCI'!$A$16:$G$59,7,0))</f>
        <v>Si</v>
      </c>
      <c r="J32" s="159">
        <f t="shared" si="2"/>
        <v>1</v>
      </c>
      <c r="K32" s="160">
        <f t="shared" si="1"/>
        <v>0.9285714285714286</v>
      </c>
    </row>
    <row r="33" spans="1:11" x14ac:dyDescent="0.25">
      <c r="A33" s="158" t="s">
        <v>176</v>
      </c>
      <c r="B33" s="158" t="s">
        <v>86</v>
      </c>
      <c r="C33" s="158" t="s">
        <v>177</v>
      </c>
      <c r="D33" s="158" t="s">
        <v>43</v>
      </c>
      <c r="E33" s="158" t="s">
        <v>92</v>
      </c>
      <c r="F33" s="158" t="str">
        <f>+VLOOKUP(A33,'Estado SCI'!$A$16:$I$59,9,0)</f>
        <v>Mantenimiento del control</v>
      </c>
      <c r="G33" s="158">
        <f>+VLOOKUP(A33,'Estado SCI'!$A$16:$L$59,12,0)</f>
        <v>80.412345599999995</v>
      </c>
      <c r="H33" s="158">
        <f t="shared" si="0"/>
        <v>33</v>
      </c>
      <c r="I33" s="158" t="str">
        <f>+IF(VLOOKUP(A33,'Estado SCI'!$A$16:$G$59,7,0)="","",VLOOKUP(A33,'Estado SCI'!$A$16:$G$59,7,0))</f>
        <v>Si</v>
      </c>
      <c r="J33" s="159">
        <f t="shared" si="2"/>
        <v>1</v>
      </c>
      <c r="K33" s="160">
        <f t="shared" si="1"/>
        <v>0.9285714285714286</v>
      </c>
    </row>
    <row r="34" spans="1:11" x14ac:dyDescent="0.25">
      <c r="A34" s="158" t="s">
        <v>178</v>
      </c>
      <c r="B34" s="158" t="s">
        <v>86</v>
      </c>
      <c r="C34" s="158" t="s">
        <v>177</v>
      </c>
      <c r="D34" s="158" t="s">
        <v>45</v>
      </c>
      <c r="E34" s="158" t="s">
        <v>93</v>
      </c>
      <c r="F34" s="158" t="str">
        <f>+VLOOKUP(A34,'Estado SCI'!$A$16:$I$59,9,0)</f>
        <v>Mantenimiento del control</v>
      </c>
      <c r="G34" s="158">
        <f>+VLOOKUP(A34,'Estado SCI'!$A$16:$L$59,12,0)</f>
        <v>80.412345669999993</v>
      </c>
      <c r="H34" s="158">
        <f t="shared" si="0"/>
        <v>34</v>
      </c>
      <c r="I34" s="158" t="str">
        <f>+IF(VLOOKUP(A34,'Estado SCI'!$A$16:$G$59,7,0)="","",VLOOKUP(A34,'Estado SCI'!$A$16:$G$59,7,0))</f>
        <v>Si</v>
      </c>
      <c r="J34" s="159">
        <f t="shared" si="2"/>
        <v>1</v>
      </c>
      <c r="K34" s="160">
        <f t="shared" si="1"/>
        <v>0.9285714285714286</v>
      </c>
    </row>
    <row r="35" spans="1:11" x14ac:dyDescent="0.25">
      <c r="A35" s="158" t="s">
        <v>179</v>
      </c>
      <c r="B35" s="158" t="s">
        <v>86</v>
      </c>
      <c r="C35" s="158" t="s">
        <v>177</v>
      </c>
      <c r="D35" s="158" t="s">
        <v>47</v>
      </c>
      <c r="E35" s="158" t="s">
        <v>94</v>
      </c>
      <c r="F35" s="158" t="str">
        <f>+VLOOKUP(A35,'Estado SCI'!$A$16:$I$59,9,0)</f>
        <v>Oportunidad de mejora</v>
      </c>
      <c r="G35" s="158">
        <f>+VLOOKUP(A35,'Estado SCI'!$A$16:$L$59,12,0)</f>
        <v>70.412345677999994</v>
      </c>
      <c r="H35" s="158">
        <f t="shared" si="0"/>
        <v>28</v>
      </c>
      <c r="I35" s="158" t="str">
        <f>+IF(VLOOKUP(A35,'Estado SCI'!$A$16:$G$59,7,0)="","",VLOOKUP(A35,'Estado SCI'!$A$16:$G$59,7,0))</f>
        <v>En proceso</v>
      </c>
      <c r="J35" s="159">
        <f t="shared" si="2"/>
        <v>0.5</v>
      </c>
      <c r="K35" s="160">
        <f t="shared" si="1"/>
        <v>0.9285714285714286</v>
      </c>
    </row>
    <row r="36" spans="1:11" x14ac:dyDescent="0.25">
      <c r="A36" s="158" t="s">
        <v>180</v>
      </c>
      <c r="B36" s="158" t="str">
        <f>+VLOOKUP(A36,'Estado SCI'!$A$16:$C$59,3,0)</f>
        <v>ACTIVIDADES DE MONITOREO</v>
      </c>
      <c r="C36" s="158" t="s">
        <v>177</v>
      </c>
      <c r="D36" s="158" t="s">
        <v>34</v>
      </c>
      <c r="E36" s="158" t="s">
        <v>98</v>
      </c>
      <c r="F36" s="158" t="str">
        <f>+VLOOKUP(A36,'Estado SCI'!$A$16:$I$59,9,0)</f>
        <v>Mantenimiento del control</v>
      </c>
      <c r="G36" s="158">
        <f>+VLOOKUP(A36,'Estado SCI'!$A$16:$L$59,12,0)</f>
        <v>120.851</v>
      </c>
      <c r="H36" s="158">
        <f t="shared" si="0"/>
        <v>39</v>
      </c>
      <c r="I36" s="158" t="str">
        <f>+IF(VLOOKUP(A36,'Estado SCI'!$A$16:$G$59,7,0)="","",VLOOKUP(A36,'Estado SCI'!$A$16:$G$59,7,0))</f>
        <v>Si</v>
      </c>
      <c r="J36" s="159">
        <f t="shared" si="2"/>
        <v>1</v>
      </c>
      <c r="K36" s="160">
        <f t="shared" si="1"/>
        <v>0.8</v>
      </c>
    </row>
    <row r="37" spans="1:11" x14ac:dyDescent="0.25">
      <c r="A37" s="158" t="s">
        <v>181</v>
      </c>
      <c r="B37" s="158" t="s">
        <v>96</v>
      </c>
      <c r="C37" s="158" t="s">
        <v>177</v>
      </c>
      <c r="D37" s="158" t="s">
        <v>41</v>
      </c>
      <c r="E37" s="158" t="s">
        <v>99</v>
      </c>
      <c r="F37" s="158" t="str">
        <f>+VLOOKUP(A37,'Estado SCI'!$A$16:$I$59,9,0)</f>
        <v>Mantenimiento del control</v>
      </c>
      <c r="G37" s="158">
        <f>+VLOOKUP(A37,'Estado SCI'!$A$16:$L$59,12,0)</f>
        <v>120.85120000000001</v>
      </c>
      <c r="H37" s="158">
        <f t="shared" si="0"/>
        <v>40</v>
      </c>
      <c r="I37" s="158" t="str">
        <f>+IF(VLOOKUP(A37,'Estado SCI'!$A$16:$G$59,7,0)="","",VLOOKUP(A37,'Estado SCI'!$A$16:$G$59,7,0))</f>
        <v>Si</v>
      </c>
      <c r="J37" s="159">
        <f t="shared" si="2"/>
        <v>1</v>
      </c>
      <c r="K37" s="160">
        <f t="shared" si="1"/>
        <v>0.8</v>
      </c>
    </row>
    <row r="38" spans="1:11" x14ac:dyDescent="0.25">
      <c r="A38" s="158" t="s">
        <v>182</v>
      </c>
      <c r="B38" s="158" t="s">
        <v>96</v>
      </c>
      <c r="C38" s="158" t="s">
        <v>67</v>
      </c>
      <c r="D38" s="158" t="s">
        <v>45</v>
      </c>
      <c r="E38" s="158" t="s">
        <v>100</v>
      </c>
      <c r="F38" s="158" t="str">
        <f>+VLOOKUP(A38,'Estado SCI'!$A$16:$I$59,9,0)</f>
        <v>Mantenimiento del control</v>
      </c>
      <c r="G38" s="158">
        <f>+VLOOKUP(A38,'Estado SCI'!$A$16:$L$59,12,0)</f>
        <v>120.85123</v>
      </c>
      <c r="H38" s="158">
        <f t="shared" si="0"/>
        <v>41</v>
      </c>
      <c r="I38" s="158" t="str">
        <f>+IF(VLOOKUP(A38,'Estado SCI'!$A$16:$G$59,7,0)="","",VLOOKUP(A38,'Estado SCI'!$A$16:$G$59,7,0))</f>
        <v>Si</v>
      </c>
      <c r="J38" s="159">
        <f t="shared" si="2"/>
        <v>1</v>
      </c>
      <c r="K38" s="160">
        <f t="shared" si="1"/>
        <v>0.8</v>
      </c>
    </row>
    <row r="39" spans="1:11" x14ac:dyDescent="0.25">
      <c r="A39" s="158" t="s">
        <v>183</v>
      </c>
      <c r="B39" s="158" t="s">
        <v>96</v>
      </c>
      <c r="C39" s="158" t="s">
        <v>67</v>
      </c>
      <c r="D39" s="158" t="s">
        <v>47</v>
      </c>
      <c r="E39" s="158" t="s">
        <v>101</v>
      </c>
      <c r="F39" s="158" t="str">
        <f>+VLOOKUP(A39,'Estado SCI'!$A$16:$I$59,9,0)</f>
        <v>Mantenimiento del control</v>
      </c>
      <c r="G39" s="158">
        <f>+VLOOKUP(A39,'Estado SCI'!$A$16:$L$59,12,0)</f>
        <v>120.85123400000001</v>
      </c>
      <c r="H39" s="158">
        <f t="shared" si="0"/>
        <v>42</v>
      </c>
      <c r="I39" s="158" t="str">
        <f>+IF(VLOOKUP(A39,'Estado SCI'!$A$16:$G$59,7,0)="","",VLOOKUP(A39,'Estado SCI'!$A$16:$G$59,7,0))</f>
        <v>Si</v>
      </c>
      <c r="J39" s="159">
        <f t="shared" si="2"/>
        <v>1</v>
      </c>
      <c r="K39" s="160">
        <f t="shared" si="1"/>
        <v>0.8</v>
      </c>
    </row>
    <row r="40" spans="1:11" x14ac:dyDescent="0.25">
      <c r="A40" s="158" t="s">
        <v>184</v>
      </c>
      <c r="B40" s="158" t="s">
        <v>96</v>
      </c>
      <c r="C40" s="158" t="s">
        <v>67</v>
      </c>
      <c r="D40" s="158" t="s">
        <v>49</v>
      </c>
      <c r="E40" s="158" t="s">
        <v>104</v>
      </c>
      <c r="F40" s="158" t="str">
        <f>+VLOOKUP(A40,'Estado SCI'!$A$16:$I$59,9,0)</f>
        <v>Mantenimiento del control</v>
      </c>
      <c r="G40" s="158">
        <f>+VLOOKUP(A40,'Estado SCI'!$A$16:$L$59,12,0)</f>
        <v>120.8512345</v>
      </c>
      <c r="H40" s="158">
        <f t="shared" si="0"/>
        <v>43</v>
      </c>
      <c r="I40" s="158" t="str">
        <f>+IF(VLOOKUP(A40,'Estado SCI'!$A$16:$G$59,7,0)="","",VLOOKUP(A40,'Estado SCI'!$A$16:$G$59,7,0))</f>
        <v>Si</v>
      </c>
      <c r="J40" s="159">
        <f t="shared" si="2"/>
        <v>1</v>
      </c>
      <c r="K40" s="160">
        <f t="shared" si="1"/>
        <v>0.8</v>
      </c>
    </row>
    <row r="41" spans="1:11" x14ac:dyDescent="0.25">
      <c r="A41" s="158" t="s">
        <v>185</v>
      </c>
      <c r="B41" s="158" t="s">
        <v>96</v>
      </c>
      <c r="C41" s="158" t="s">
        <v>67</v>
      </c>
      <c r="D41" s="158" t="s">
        <v>34</v>
      </c>
      <c r="E41" s="158" t="s">
        <v>107</v>
      </c>
      <c r="F41" s="158" t="str">
        <f>+VLOOKUP(A41,'Estado SCI'!$A$16:$I$59,9,0)</f>
        <v>Mantenimiento del control</v>
      </c>
      <c r="G41" s="158">
        <f>+VLOOKUP(A41,'Estado SCI'!$A$16:$L$59,12,0)</f>
        <v>120.85123455999999</v>
      </c>
      <c r="H41" s="158">
        <f t="shared" si="0"/>
        <v>44</v>
      </c>
      <c r="I41" s="158" t="str">
        <f>+IF(VLOOKUP(A41,'Estado SCI'!$A$16:$G$59,7,0)="","",VLOOKUP(A41,'Estado SCI'!$A$16:$G$59,7,0))</f>
        <v>Si</v>
      </c>
      <c r="J41" s="159">
        <f t="shared" si="2"/>
        <v>1</v>
      </c>
      <c r="K41" s="160">
        <f t="shared" si="1"/>
        <v>0.8</v>
      </c>
    </row>
    <row r="42" spans="1:11" x14ac:dyDescent="0.25">
      <c r="A42" s="158" t="s">
        <v>186</v>
      </c>
      <c r="B42" s="158" t="s">
        <v>96</v>
      </c>
      <c r="C42" s="158" t="s">
        <v>72</v>
      </c>
      <c r="D42" s="158" t="s">
        <v>36</v>
      </c>
      <c r="E42" s="158" t="s">
        <v>108</v>
      </c>
      <c r="F42" s="158" t="str">
        <f>+VLOOKUP(A42,'Estado SCI'!$A$16:$I$59,9,0)</f>
        <v>Oportunidad de mejora</v>
      </c>
      <c r="G42" s="158">
        <f>+VLOOKUP(A42,'Estado SCI'!$A$16:$L$59,12,0)</f>
        <v>100.85123456700001</v>
      </c>
      <c r="H42" s="158">
        <f t="shared" si="0"/>
        <v>35</v>
      </c>
      <c r="I42" s="158" t="str">
        <f>+IF(VLOOKUP(A42,'Estado SCI'!$A$16:$G$59,7,0)="","",VLOOKUP(A42,'Estado SCI'!$A$16:$G$59,7,0))</f>
        <v>En proceso</v>
      </c>
      <c r="J42" s="159">
        <f t="shared" si="2"/>
        <v>0.5</v>
      </c>
      <c r="K42" s="160">
        <f t="shared" si="1"/>
        <v>0.8</v>
      </c>
    </row>
    <row r="43" spans="1:11" x14ac:dyDescent="0.25">
      <c r="A43" s="158" t="s">
        <v>187</v>
      </c>
      <c r="B43" s="158" t="s">
        <v>96</v>
      </c>
      <c r="C43" s="158" t="s">
        <v>72</v>
      </c>
      <c r="D43" s="158" t="s">
        <v>39</v>
      </c>
      <c r="E43" s="158" t="s">
        <v>109</v>
      </c>
      <c r="F43" s="158" t="str">
        <f>+VLOOKUP(A43,'Estado SCI'!$A$16:$I$59,9,0)</f>
        <v>Oportunidad de mejora</v>
      </c>
      <c r="G43" s="158">
        <f>+VLOOKUP(A43,'Estado SCI'!$A$16:$L$59,12,0)</f>
        <v>100.85123456780001</v>
      </c>
      <c r="H43" s="158">
        <f t="shared" si="0"/>
        <v>36</v>
      </c>
      <c r="I43" s="158" t="str">
        <f>+IF(VLOOKUP(A43,'Estado SCI'!$A$16:$G$59,7,0)="","",VLOOKUP(A43,'Estado SCI'!$A$16:$G$59,7,0))</f>
        <v>En proceso</v>
      </c>
      <c r="J43" s="159">
        <f t="shared" si="2"/>
        <v>0.5</v>
      </c>
      <c r="K43" s="160">
        <f t="shared" si="1"/>
        <v>0.8</v>
      </c>
    </row>
    <row r="44" spans="1:11" x14ac:dyDescent="0.25">
      <c r="A44" s="158" t="s">
        <v>188</v>
      </c>
      <c r="B44" s="158" t="s">
        <v>96</v>
      </c>
      <c r="C44" s="158" t="s">
        <v>72</v>
      </c>
      <c r="D44" s="158" t="s">
        <v>41</v>
      </c>
      <c r="E44" s="158" t="s">
        <v>110</v>
      </c>
      <c r="F44" s="158" t="str">
        <f>+VLOOKUP(A44,'Estado SCI'!$A$16:$I$59,9,0)</f>
        <v>Oportunidad de mejora</v>
      </c>
      <c r="G44" s="158">
        <f>+VLOOKUP(A44,'Estado SCI'!$A$16:$L$59,12,0)</f>
        <v>100.85123456789</v>
      </c>
      <c r="H44" s="158">
        <f t="shared" si="0"/>
        <v>37</v>
      </c>
      <c r="I44" s="158" t="str">
        <f>+IF(VLOOKUP(A44,'Estado SCI'!$A$16:$G$59,7,0)="","",VLOOKUP(A44,'Estado SCI'!$A$16:$G$59,7,0))</f>
        <v>En proceso</v>
      </c>
      <c r="J44" s="159">
        <f t="shared" si="2"/>
        <v>0.5</v>
      </c>
      <c r="K44" s="160">
        <f t="shared" si="1"/>
        <v>0.8</v>
      </c>
    </row>
    <row r="45" spans="1:11" x14ac:dyDescent="0.25">
      <c r="A45" s="158" t="s">
        <v>189</v>
      </c>
      <c r="B45" s="158" t="s">
        <v>96</v>
      </c>
      <c r="C45" s="158" t="s">
        <v>72</v>
      </c>
      <c r="D45" s="158" t="s">
        <v>43</v>
      </c>
      <c r="E45" s="158" t="s">
        <v>111</v>
      </c>
      <c r="F45" s="158" t="str">
        <f>+VLOOKUP(A45,'Estado SCI'!$A$16:$I$59,9,0)</f>
        <v>Oportunidad de mejora</v>
      </c>
      <c r="G45" s="158">
        <f>+VLOOKUP(A45,'Estado SCI'!$A$16:$L$59,12,0)</f>
        <v>100.851234567891</v>
      </c>
      <c r="H45" s="158">
        <f t="shared" si="0"/>
        <v>38</v>
      </c>
      <c r="I45" s="158" t="str">
        <f>+IF(VLOOKUP(A45,'Estado SCI'!$A$16:$G$59,7,0)="","",VLOOKUP(A45,'Estado SCI'!$A$16:$G$59,7,0))</f>
        <v>En proceso</v>
      </c>
      <c r="J45" s="159">
        <f t="shared" si="2"/>
        <v>0.5</v>
      </c>
      <c r="K45" s="160">
        <f t="shared" si="1"/>
        <v>0.8</v>
      </c>
    </row>
  </sheetData>
  <sheetProtection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cp:lastModifiedBy>
  <cp:revision/>
  <dcterms:created xsi:type="dcterms:W3CDTF">2020-04-28T13:58:09Z</dcterms:created>
  <dcterms:modified xsi:type="dcterms:W3CDTF">2021-01-28T14:15:46Z</dcterms:modified>
  <cp:category/>
  <cp:contentStatus/>
</cp:coreProperties>
</file>